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1115" windowHeight="5175" tabRatio="826"/>
  </bookViews>
  <sheets>
    <sheet name="Dados individuais" sheetId="8" r:id="rId1"/>
    <sheet name="Rebanho" sheetId="4" r:id="rId2"/>
    <sheet name="Caracterização técnica" sheetId="5" r:id="rId3"/>
    <sheet name="Cálculo básico" sheetId="1" r:id="rId4"/>
    <sheet name="Modelos Globais" sheetId="2" r:id="rId5"/>
    <sheet name="Composição da renda" sheetId="3" r:id="rId6"/>
    <sheet name="VAB atividades" sheetId="6" r:id="rId7"/>
  </sheets>
  <definedNames>
    <definedName name="_xlnm.Print_Area" localSheetId="3">'Cálculo básico'!$A$1:$H$162</definedName>
  </definedNames>
  <calcPr calcId="145621"/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B12" i="5" l="1"/>
  <c r="B13" i="3"/>
  <c r="B14" i="3"/>
  <c r="B12" i="3"/>
  <c r="C25" i="2" l="1"/>
  <c r="C24" i="2"/>
  <c r="B20" i="1"/>
  <c r="G107" i="1" l="1"/>
  <c r="E23" i="1" l="1"/>
  <c r="C23" i="1"/>
  <c r="C11" i="5" l="1"/>
  <c r="A20" i="1"/>
  <c r="B18" i="1" s="1"/>
  <c r="B11" i="5" s="1"/>
  <c r="B28" i="5" l="1"/>
  <c r="C28" i="5"/>
  <c r="D28" i="5"/>
  <c r="E28" i="5"/>
  <c r="F28" i="5"/>
  <c r="G28" i="5"/>
  <c r="H28" i="5"/>
  <c r="I28" i="5"/>
  <c r="J28" i="5"/>
  <c r="K28" i="5"/>
  <c r="L28" i="5"/>
  <c r="M28" i="5"/>
  <c r="C29" i="5"/>
  <c r="D29" i="5"/>
  <c r="E29" i="5"/>
  <c r="F29" i="5"/>
  <c r="G29" i="5"/>
  <c r="H29" i="5"/>
  <c r="I29" i="5"/>
  <c r="J29" i="5"/>
  <c r="K29" i="5"/>
  <c r="L29" i="5"/>
  <c r="M29" i="5"/>
  <c r="B29" i="5"/>
  <c r="G17" i="5"/>
  <c r="G26" i="5" s="1"/>
  <c r="H17" i="5"/>
  <c r="H26" i="5" s="1"/>
  <c r="I17" i="5"/>
  <c r="I26" i="5" s="1"/>
  <c r="J17" i="5"/>
  <c r="J26" i="5" s="1"/>
  <c r="C20" i="5" l="1"/>
  <c r="D20" i="5"/>
  <c r="E20" i="5"/>
  <c r="F20" i="5"/>
  <c r="G20" i="5"/>
  <c r="H20" i="5"/>
  <c r="I20" i="5"/>
  <c r="J20" i="5"/>
  <c r="K20" i="5"/>
  <c r="L20" i="5"/>
  <c r="M20" i="5"/>
  <c r="B20" i="5"/>
  <c r="C22" i="5"/>
  <c r="D22" i="5"/>
  <c r="E22" i="5"/>
  <c r="F22" i="5"/>
  <c r="G22" i="5"/>
  <c r="H22" i="5"/>
  <c r="I22" i="5"/>
  <c r="J22" i="5"/>
  <c r="K22" i="5"/>
  <c r="L22" i="5"/>
  <c r="M22" i="5"/>
  <c r="B22" i="5"/>
  <c r="B44" i="1"/>
  <c r="B43" i="1"/>
  <c r="B42" i="1"/>
  <c r="B41" i="1"/>
  <c r="B40" i="1"/>
  <c r="B39" i="1"/>
  <c r="B38" i="1"/>
  <c r="B81" i="1"/>
  <c r="M37" i="5"/>
  <c r="L37" i="5"/>
  <c r="K37" i="5"/>
  <c r="J37" i="5"/>
  <c r="I37" i="5"/>
  <c r="H37" i="5"/>
  <c r="G37" i="5"/>
  <c r="F37" i="5"/>
  <c r="E37" i="5"/>
  <c r="D37" i="5"/>
  <c r="C37" i="5"/>
  <c r="B37" i="5"/>
  <c r="B15" i="6" l="1"/>
  <c r="B16" i="6" s="1"/>
  <c r="B1" i="6"/>
  <c r="C5" i="6"/>
  <c r="D5" i="6"/>
  <c r="E5" i="6"/>
  <c r="F5" i="6"/>
  <c r="G5" i="6"/>
  <c r="B5" i="6"/>
  <c r="B6" i="6"/>
  <c r="B7" i="6"/>
  <c r="B8" i="6"/>
  <c r="B9" i="6"/>
  <c r="B3" i="6"/>
  <c r="B17" i="6" l="1"/>
  <c r="C33" i="1"/>
  <c r="G129" i="1"/>
  <c r="H142" i="1" l="1"/>
  <c r="B18" i="6"/>
  <c r="B19" i="6" l="1"/>
  <c r="C4" i="3" l="1"/>
  <c r="B162" i="1" l="1"/>
  <c r="G134" i="1"/>
  <c r="E118" i="1"/>
  <c r="E111" i="1" l="1"/>
  <c r="B159" i="1"/>
  <c r="G131" i="1"/>
  <c r="G136" i="1" l="1"/>
  <c r="D20" i="1"/>
  <c r="H144" i="1"/>
  <c r="G17" i="1"/>
  <c r="F17" i="1"/>
  <c r="G16" i="1"/>
  <c r="F16" i="1"/>
  <c r="D15" i="1"/>
  <c r="D14" i="1"/>
  <c r="D13" i="1"/>
  <c r="D12" i="1"/>
  <c r="D11" i="1"/>
  <c r="D10" i="1"/>
  <c r="G9" i="1"/>
  <c r="D9" i="1"/>
  <c r="G8" i="1"/>
  <c r="E8" i="1"/>
  <c r="D8" i="1"/>
  <c r="G7" i="1"/>
  <c r="E10" i="3" s="1"/>
  <c r="F7" i="1"/>
  <c r="D7" i="1"/>
  <c r="D6" i="1"/>
  <c r="H149" i="1" l="1"/>
  <c r="C14" i="4"/>
  <c r="C12" i="4"/>
  <c r="B21" i="3"/>
  <c r="C15" i="4"/>
  <c r="B19" i="4"/>
  <c r="C13" i="4"/>
  <c r="D138" i="1"/>
  <c r="C11" i="4" l="1"/>
  <c r="L19" i="5"/>
  <c r="G19" i="5"/>
  <c r="K19" i="5"/>
  <c r="E19" i="5"/>
  <c r="B19" i="5"/>
  <c r="J19" i="5"/>
  <c r="D19" i="5"/>
  <c r="M19" i="5"/>
  <c r="H19" i="5"/>
  <c r="C19" i="5"/>
  <c r="F13" i="6"/>
  <c r="B22" i="3"/>
  <c r="B160" i="1"/>
  <c r="B23" i="1"/>
  <c r="C16" i="4"/>
  <c r="C19" i="4" l="1"/>
  <c r="H143" i="1"/>
  <c r="E12" i="1"/>
  <c r="H150" i="1" l="1"/>
  <c r="B147" i="1" l="1"/>
  <c r="A12" i="2" s="1"/>
  <c r="F12" i="1" l="1"/>
  <c r="A25" i="2"/>
  <c r="E7" i="1"/>
  <c r="J36" i="5"/>
  <c r="M36" i="5"/>
  <c r="K36" i="5"/>
  <c r="B36" i="5"/>
  <c r="F36" i="5"/>
  <c r="I36" i="5"/>
  <c r="C36" i="5"/>
  <c r="G36" i="5"/>
  <c r="D36" i="5"/>
  <c r="H36" i="5"/>
  <c r="L36" i="5"/>
  <c r="E36" i="5"/>
  <c r="C5" i="3"/>
  <c r="B23" i="3" s="1"/>
  <c r="B24" i="3" s="1"/>
  <c r="D87" i="1"/>
  <c r="D73" i="1" s="1"/>
  <c r="B26" i="1"/>
  <c r="E34" i="5" s="1"/>
  <c r="E38" i="5" l="1"/>
  <c r="C6" i="1"/>
  <c r="B9" i="5"/>
  <c r="D92" i="1"/>
  <c r="B34" i="5"/>
  <c r="B38" i="5" s="1"/>
  <c r="L34" i="5"/>
  <c r="L38" i="5" s="1"/>
  <c r="C34" i="5"/>
  <c r="C38" i="5" s="1"/>
  <c r="M34" i="5"/>
  <c r="M38" i="5" s="1"/>
  <c r="D34" i="5"/>
  <c r="D38" i="5" s="1"/>
  <c r="B31" i="1"/>
  <c r="B10" i="5" s="1"/>
  <c r="D49" i="1"/>
  <c r="A28" i="1"/>
  <c r="I19" i="5"/>
  <c r="L18" i="5" l="1"/>
  <c r="L27" i="5" s="1"/>
  <c r="M18" i="5"/>
  <c r="M27" i="5" s="1"/>
  <c r="J18" i="5"/>
  <c r="H18" i="5"/>
  <c r="F18" i="5"/>
  <c r="F27" i="5" s="1"/>
  <c r="D18" i="5"/>
  <c r="D27" i="5" s="1"/>
  <c r="B18" i="5"/>
  <c r="B27" i="5" s="1"/>
  <c r="K18" i="5"/>
  <c r="K27" i="5" s="1"/>
  <c r="I18" i="5"/>
  <c r="I27" i="5" s="1"/>
  <c r="I30" i="5" s="1"/>
  <c r="G18" i="5"/>
  <c r="C18" i="5"/>
  <c r="C27" i="5" s="1"/>
  <c r="E18" i="5"/>
  <c r="E27" i="5" s="1"/>
  <c r="F19" i="5"/>
  <c r="B13" i="5"/>
  <c r="K17" i="5"/>
  <c r="C17" i="5"/>
  <c r="L17" i="5"/>
  <c r="F17" i="5"/>
  <c r="F26" i="5" s="1"/>
  <c r="F30" i="5" s="1"/>
  <c r="D17" i="5"/>
  <c r="B17" i="5"/>
  <c r="M17" i="5"/>
  <c r="E17" i="5"/>
  <c r="B56" i="1"/>
  <c r="C6" i="3"/>
  <c r="B57" i="1"/>
  <c r="G35" i="5"/>
  <c r="G38" i="5" s="1"/>
  <c r="I35" i="5"/>
  <c r="I38" i="5" s="1"/>
  <c r="J35" i="5"/>
  <c r="J38" i="5" s="1"/>
  <c r="F35" i="5"/>
  <c r="F38" i="5" s="1"/>
  <c r="H35" i="5"/>
  <c r="H38" i="5" s="1"/>
  <c r="D62" i="1"/>
  <c r="K35" i="5"/>
  <c r="K38" i="5" s="1"/>
  <c r="F21" i="5" l="1"/>
  <c r="I21" i="5"/>
  <c r="E26" i="5"/>
  <c r="E30" i="5" s="1"/>
  <c r="E21" i="5"/>
  <c r="B26" i="5"/>
  <c r="B30" i="5" s="1"/>
  <c r="B21" i="5"/>
  <c r="C26" i="5"/>
  <c r="C30" i="5" s="1"/>
  <c r="C21" i="5"/>
  <c r="J27" i="5"/>
  <c r="J30" i="5" s="1"/>
  <c r="J21" i="5"/>
  <c r="M26" i="5"/>
  <c r="M30" i="5" s="1"/>
  <c r="M21" i="5"/>
  <c r="D26" i="5"/>
  <c r="D30" i="5" s="1"/>
  <c r="D21" i="5"/>
  <c r="L26" i="5"/>
  <c r="L30" i="5" s="1"/>
  <c r="L21" i="5"/>
  <c r="K26" i="5"/>
  <c r="K30" i="5" s="1"/>
  <c r="K21" i="5"/>
  <c r="G27" i="5"/>
  <c r="G30" i="5" s="1"/>
  <c r="G21" i="5"/>
  <c r="H27" i="5"/>
  <c r="H30" i="5" s="1"/>
  <c r="H21" i="5"/>
  <c r="E142" i="1"/>
  <c r="F142" i="1" s="1"/>
  <c r="H141" i="1"/>
  <c r="B25" i="3"/>
  <c r="C7" i="3"/>
  <c r="F10" i="1" l="1"/>
  <c r="D152" i="1"/>
  <c r="G12" i="1" s="1"/>
  <c r="F9" i="1"/>
  <c r="E9" i="1"/>
  <c r="H145" i="1"/>
  <c r="B161" i="1"/>
  <c r="F144" i="1"/>
  <c r="E10" i="1" l="1"/>
  <c r="E11" i="1"/>
  <c r="D150" i="1"/>
  <c r="G10" i="1" s="1"/>
  <c r="F14" i="1"/>
  <c r="E14" i="1"/>
  <c r="D154" i="1"/>
  <c r="G14" i="1" s="1"/>
  <c r="E13" i="6"/>
  <c r="M7" i="3" l="1"/>
  <c r="E13" i="1"/>
  <c r="F11" i="1"/>
  <c r="D151" i="1"/>
  <c r="G11" i="1" s="1"/>
  <c r="C13" i="6"/>
  <c r="D13" i="6"/>
  <c r="F13" i="1" l="1"/>
  <c r="D153" i="1"/>
  <c r="G13" i="1" s="1"/>
  <c r="F15" i="1"/>
  <c r="E16" i="1"/>
  <c r="D155" i="1"/>
  <c r="G15" i="1" s="1"/>
  <c r="C12" i="2"/>
  <c r="E15" i="1" l="1"/>
  <c r="E17" i="1"/>
  <c r="G108" i="1" s="1"/>
  <c r="G109" i="1" s="1"/>
  <c r="M8" i="3" l="1"/>
</calcChain>
</file>

<file path=xl/sharedStrings.xml><?xml version="1.0" encoding="utf-8"?>
<sst xmlns="http://schemas.openxmlformats.org/spreadsheetml/2006/main" count="476" uniqueCount="306">
  <si>
    <t>Sistemas de Produção - Produto Bruto</t>
  </si>
  <si>
    <t>Atividade</t>
  </si>
  <si>
    <t>PB</t>
  </si>
  <si>
    <t>Soja</t>
  </si>
  <si>
    <t>Leite</t>
  </si>
  <si>
    <t>Subsistência</t>
  </si>
  <si>
    <t>Total PB</t>
  </si>
  <si>
    <t>PB do Leite</t>
  </si>
  <si>
    <t>Prod Diária</t>
  </si>
  <si>
    <t>Prod Anual</t>
  </si>
  <si>
    <t>Preço/L</t>
  </si>
  <si>
    <t>PB da Soja</t>
  </si>
  <si>
    <t>Área</t>
  </si>
  <si>
    <t xml:space="preserve">Rend/ha </t>
  </si>
  <si>
    <t>Produção</t>
  </si>
  <si>
    <t>Preço/saca</t>
  </si>
  <si>
    <t>PB Subsistência</t>
  </si>
  <si>
    <t>Itens</t>
  </si>
  <si>
    <t>Quantidade</t>
  </si>
  <si>
    <t>Unidade</t>
  </si>
  <si>
    <t>Preço Unitário</t>
  </si>
  <si>
    <t>Total</t>
  </si>
  <si>
    <t>Carne Bovina</t>
  </si>
  <si>
    <t>Carne Suína</t>
  </si>
  <si>
    <t>Carne de Frango</t>
  </si>
  <si>
    <t>Ovos</t>
  </si>
  <si>
    <t>Mandioca</t>
  </si>
  <si>
    <t>Feijão</t>
  </si>
  <si>
    <t>Total PB Subsistência</t>
  </si>
  <si>
    <t>Calculo dos Custos Intermediários (CI)</t>
  </si>
  <si>
    <t>Consumo Intermediário da Soja</t>
  </si>
  <si>
    <t>Preço Unitario</t>
  </si>
  <si>
    <t>Semente</t>
  </si>
  <si>
    <t xml:space="preserve">kg/ha </t>
  </si>
  <si>
    <t>Dessecante</t>
  </si>
  <si>
    <t xml:space="preserve">l/ha </t>
  </si>
  <si>
    <t>Inseticida</t>
  </si>
  <si>
    <t>Adubo</t>
  </si>
  <si>
    <t>Trat Sem.</t>
  </si>
  <si>
    <t>Aplic Inset</t>
  </si>
  <si>
    <t>Total CI Soja</t>
  </si>
  <si>
    <t>Royaltes</t>
  </si>
  <si>
    <t>saca</t>
  </si>
  <si>
    <t>Diesel</t>
  </si>
  <si>
    <t>Milho</t>
  </si>
  <si>
    <t>Área(ha)</t>
  </si>
  <si>
    <t>Uréia</t>
  </si>
  <si>
    <t>sc/há</t>
  </si>
  <si>
    <t>Herbicida</t>
  </si>
  <si>
    <t>Consumo Intermediário do Tifton</t>
  </si>
  <si>
    <t>Tifton</t>
  </si>
  <si>
    <t>Área (há)</t>
  </si>
  <si>
    <t xml:space="preserve">Preço </t>
  </si>
  <si>
    <t>Esterco</t>
  </si>
  <si>
    <t>Consumo Intermediário da Aveia de Inverno</t>
  </si>
  <si>
    <t>kg/há</t>
  </si>
  <si>
    <t>Aveia</t>
  </si>
  <si>
    <t>Área(há)</t>
  </si>
  <si>
    <t>saca/há</t>
  </si>
  <si>
    <t>Total do CI da Aveia de Verão</t>
  </si>
  <si>
    <t xml:space="preserve">Leite </t>
  </si>
  <si>
    <t>Vacinas</t>
  </si>
  <si>
    <t>Inseminação</t>
  </si>
  <si>
    <t>vacas</t>
  </si>
  <si>
    <t>Lona Silagem</t>
  </si>
  <si>
    <t>Luz</t>
  </si>
  <si>
    <t>Manutenção Ordenhadeira</t>
  </si>
  <si>
    <t>Farelo</t>
  </si>
  <si>
    <t>Sal Mineral</t>
  </si>
  <si>
    <t>sc/ano</t>
  </si>
  <si>
    <t>Total CI do Leite</t>
  </si>
  <si>
    <t>kg/ano</t>
  </si>
  <si>
    <t>horas</t>
  </si>
  <si>
    <t>Outros Gastos</t>
  </si>
  <si>
    <t>Ração</t>
  </si>
  <si>
    <t>sacas</t>
  </si>
  <si>
    <t>Sementes</t>
  </si>
  <si>
    <t>Total CI da Subsistência</t>
  </si>
  <si>
    <t>Consumo Intermediário da Subsistência</t>
  </si>
  <si>
    <t>Depreciação das Instalações</t>
  </si>
  <si>
    <t>Galpão</t>
  </si>
  <si>
    <t>Estrebaria</t>
  </si>
  <si>
    <t>Total D das Instalações</t>
  </si>
  <si>
    <t>Cálculo da Depreciação (D)</t>
  </si>
  <si>
    <t>Depreciação das Máquinas e Equipamentos</t>
  </si>
  <si>
    <t>Trator Valmet 65</t>
  </si>
  <si>
    <t>Grade</t>
  </si>
  <si>
    <t>Resfriador Granel</t>
  </si>
  <si>
    <t>Triturador</t>
  </si>
  <si>
    <t>Total D das Máquinas e Equipamentos</t>
  </si>
  <si>
    <t>Total da Depreciação</t>
  </si>
  <si>
    <t>Valor Unit</t>
  </si>
  <si>
    <t>Vl Total</t>
  </si>
  <si>
    <t>Funrural</t>
  </si>
  <si>
    <t>%RB</t>
  </si>
  <si>
    <t>Sindicato</t>
  </si>
  <si>
    <t>ano</t>
  </si>
  <si>
    <t>Total DVA</t>
  </si>
  <si>
    <t>Quadro Síntese dos Resultados Econômicos</t>
  </si>
  <si>
    <t>S.A.U.</t>
  </si>
  <si>
    <t>Valor Total</t>
  </si>
  <si>
    <t>CI</t>
  </si>
  <si>
    <t>VAB</t>
  </si>
  <si>
    <t>D total</t>
  </si>
  <si>
    <t>DVA</t>
  </si>
  <si>
    <t>RA</t>
  </si>
  <si>
    <t>D proporcional</t>
  </si>
  <si>
    <t>D não proporcional</t>
  </si>
  <si>
    <t>b geral</t>
  </si>
  <si>
    <t>6-QUADRO SINTESE DOS RESULTADOS DAS ATIVIDADES</t>
  </si>
  <si>
    <t>VA/UT</t>
  </si>
  <si>
    <t>S.T. (ha)</t>
  </si>
  <si>
    <t>SAU (ha)</t>
  </si>
  <si>
    <t>UTF (equiv. adulto)</t>
  </si>
  <si>
    <t>MODELO DOS RESULTADOS ECONÔMICOS GLOBAIS E CAPACIDADE DE REPRODUÇÃO SOCIAL</t>
  </si>
  <si>
    <t>RA/UTF</t>
  </si>
  <si>
    <t>N° Animais (vacas lact.)</t>
  </si>
  <si>
    <t>REBANHO LEITEIRO</t>
  </si>
  <si>
    <t>Indices Zootécnicos</t>
  </si>
  <si>
    <t>Natalidade</t>
  </si>
  <si>
    <t>Idade 1ª cria</t>
  </si>
  <si>
    <t>Categoria anim.</t>
  </si>
  <si>
    <t>Total Vacas</t>
  </si>
  <si>
    <t>Terneiros total</t>
  </si>
  <si>
    <t>Terneiras (0-1 a.)</t>
  </si>
  <si>
    <t>Novilhas (1 a 2 a.)</t>
  </si>
  <si>
    <t>Vacas de Descarte</t>
  </si>
  <si>
    <t>Rebanho (fêmeas)</t>
  </si>
  <si>
    <t>Total CI Milho</t>
  </si>
  <si>
    <t>VA/UT = a*(SAU/UT) - b</t>
  </si>
  <si>
    <t>a =</t>
  </si>
  <si>
    <t>b =</t>
  </si>
  <si>
    <t>Modelo global do valor agregado</t>
  </si>
  <si>
    <t>SAU/UT</t>
  </si>
  <si>
    <t>Modelo global da renda agropecuária</t>
  </si>
  <si>
    <t>RA/UTF = a*(SAU/UT) - b</t>
  </si>
  <si>
    <t>SAU/UTF</t>
  </si>
  <si>
    <t>Valor/SAU</t>
  </si>
  <si>
    <t>VA</t>
  </si>
  <si>
    <t>MODELAGEM DA COMPOSIÇÃO DA RENDA</t>
  </si>
  <si>
    <t>Subsistema</t>
  </si>
  <si>
    <t>SAU</t>
  </si>
  <si>
    <t>TOTAL</t>
  </si>
  <si>
    <t>Dep.prop.</t>
  </si>
  <si>
    <t>DVA prop.</t>
  </si>
  <si>
    <t>Dep.n.prop. esp.</t>
  </si>
  <si>
    <t>DVA não prop.</t>
  </si>
  <si>
    <t>Renda</t>
  </si>
  <si>
    <t>Coeficientes</t>
  </si>
  <si>
    <t>coef. a</t>
  </si>
  <si>
    <t>coef. b esp</t>
  </si>
  <si>
    <t>coef. b geral</t>
  </si>
  <si>
    <t>Tabela</t>
  </si>
  <si>
    <t>Vacas Lactação (média anual)</t>
  </si>
  <si>
    <t>Vacas Sêcas (méd. anual)</t>
  </si>
  <si>
    <t>UB</t>
  </si>
  <si>
    <t>Maq. silagem</t>
  </si>
  <si>
    <t>SAU/UTF mínima</t>
  </si>
  <si>
    <t xml:space="preserve"> ha/pessoa</t>
  </si>
  <si>
    <t>Valor Residual</t>
  </si>
  <si>
    <t>Valor Novo</t>
  </si>
  <si>
    <t>Vida Útil</t>
  </si>
  <si>
    <t xml:space="preserve"> / SAU</t>
  </si>
  <si>
    <t>% PB</t>
  </si>
  <si>
    <t>Tipo Familiar Leite+grãos; Semi Intensivo; Tração Mecanizada Incompleta</t>
  </si>
  <si>
    <t>Consumo Intermediário do Milho</t>
  </si>
  <si>
    <t>Rend. l/VL/dia</t>
  </si>
  <si>
    <t>Mortalidade média</t>
  </si>
  <si>
    <t>ha</t>
  </si>
  <si>
    <t>dose</t>
  </si>
  <si>
    <r>
      <t>m</t>
    </r>
    <r>
      <rPr>
        <vertAlign val="superscript"/>
        <sz val="10"/>
        <rFont val="Arial"/>
        <family val="2"/>
      </rPr>
      <t>2</t>
    </r>
  </si>
  <si>
    <t>Funr. leite</t>
  </si>
  <si>
    <t>Funr. soja</t>
  </si>
  <si>
    <t>Cálculo da Distribuição do Valor Agregado, exceto a renda agropecuária (DVAER)</t>
  </si>
  <si>
    <t>DVAER proporcional</t>
  </si>
  <si>
    <t>DVAER não proporcional</t>
  </si>
  <si>
    <t>Valor Agregado Bruto</t>
  </si>
  <si>
    <t>UTF = UT</t>
  </si>
  <si>
    <t>VAB/ha</t>
  </si>
  <si>
    <t xml:space="preserve"> Estrebaria, ordenhadeira e resfriador</t>
  </si>
  <si>
    <t>UTF =</t>
  </si>
  <si>
    <t>Dep. n.p. específica leite</t>
  </si>
  <si>
    <t>Deprec. n.p.não espec.</t>
  </si>
  <si>
    <t xml:space="preserve">Subsist. a = </t>
  </si>
  <si>
    <t xml:space="preserve">Leite a = </t>
  </si>
  <si>
    <t>D.n.p.e.soja</t>
  </si>
  <si>
    <t>PB do Trigo</t>
  </si>
  <si>
    <t>Trigo</t>
  </si>
  <si>
    <t>Soja/Trigo</t>
  </si>
  <si>
    <t xml:space="preserve">Soja/Trigo a = </t>
  </si>
  <si>
    <t>RA/UTF a = 1429</t>
  </si>
  <si>
    <t>Total CI Trigo</t>
  </si>
  <si>
    <t>% VAB</t>
  </si>
  <si>
    <t>Soja  VAB/ha =</t>
  </si>
  <si>
    <t>Trigo  VAB/ha =</t>
  </si>
  <si>
    <t>Leite   VAB/ha =</t>
  </si>
  <si>
    <t>Subsistência   VAB/ha =</t>
  </si>
  <si>
    <t>Consumo Intermediário do Trigo</t>
  </si>
  <si>
    <t>V. Lact. / V. Total média anual</t>
  </si>
  <si>
    <t>Caracterização técnica</t>
  </si>
  <si>
    <t>Mão de obra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</si>
  <si>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</si>
  <si>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</si>
  <si>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</si>
  <si>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</si>
  <si>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</si>
  <si>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</si>
  <si>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</si>
  <si>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</si>
  <si>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</si>
  <si>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</si>
  <si>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</si>
  <si>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</si>
  <si>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Colhedora</t>
  </si>
  <si>
    <t>Plantadora</t>
  </si>
  <si>
    <t>Ordenhadora</t>
  </si>
  <si>
    <t>Dose</t>
  </si>
  <si>
    <t>sc/ha</t>
  </si>
  <si>
    <t>kg/ha</t>
  </si>
  <si>
    <t>l/ha</t>
  </si>
  <si>
    <t>dúzia/ha</t>
  </si>
  <si>
    <t>Colheita silagem</t>
  </si>
  <si>
    <t>MdO utiliz</t>
  </si>
  <si>
    <t>MdO disp.</t>
  </si>
  <si>
    <t>Sistema de produção</t>
  </si>
  <si>
    <t>Cabeças</t>
  </si>
  <si>
    <t>Trator</t>
  </si>
  <si>
    <t>Sistema de produção de leite e graõs comerciais e atividades para autoconsumo</t>
  </si>
  <si>
    <t>carga/ha</t>
  </si>
  <si>
    <t>Vacas de reforma</t>
  </si>
  <si>
    <t>Quant./ano</t>
  </si>
  <si>
    <t>Preço/kg vivo</t>
  </si>
  <si>
    <t>P.V./cabeça</t>
  </si>
  <si>
    <t>Produção anual (PV)</t>
  </si>
  <si>
    <t>Funr. trigo</t>
  </si>
  <si>
    <t>Total Trator</t>
  </si>
  <si>
    <t>Total Liquidez</t>
  </si>
  <si>
    <t>Contrib. à renda</t>
  </si>
  <si>
    <t>Dep.n.p. geral</t>
  </si>
  <si>
    <t>Consumo Intermediário do Leite (exceto forrageiras)</t>
  </si>
  <si>
    <t>NRS</t>
  </si>
  <si>
    <t>Rendimento leite/dia ano</t>
  </si>
  <si>
    <t>Nº</t>
  </si>
  <si>
    <t>Matrícula</t>
  </si>
  <si>
    <t>Nome</t>
  </si>
  <si>
    <t>Total de vacas</t>
  </si>
  <si>
    <t>Rendimento/dia</t>
  </si>
  <si>
    <t>Safra e Safrinha</t>
  </si>
  <si>
    <t>Leite (Tifton+Milho/Aveia)</t>
  </si>
  <si>
    <t>VA/UT = (PB-CI-DP)*(SAU/UT) - DNP/UT</t>
  </si>
  <si>
    <t>RA/UTF = (PB-CI-DP-DAVP)*(SAU/UTF) - (DNP+DVANP)/UTF</t>
  </si>
  <si>
    <t>Renda/UTF</t>
  </si>
  <si>
    <t xml:space="preserve"> (vacas em lactação)</t>
  </si>
  <si>
    <t>ANDRE LUIZ KARLEC</t>
  </si>
  <si>
    <t>ATAWANA VITORIA DA SILVA</t>
  </si>
  <si>
    <t>BRONILDO JOSE WENZEL</t>
  </si>
  <si>
    <t>BRUNA VICENTE</t>
  </si>
  <si>
    <t>CARLOS RODRIGO MARTIN</t>
  </si>
  <si>
    <t>CAROLINA MULLER ZIMMERMANN</t>
  </si>
  <si>
    <t>DANIEL LENZ GABERTE</t>
  </si>
  <si>
    <t>EDUARDO IVÃ LANGER</t>
  </si>
  <si>
    <t>EDUARDO SCHEPKE</t>
  </si>
  <si>
    <t>ELIAS HENRIQUE BREMM</t>
  </si>
  <si>
    <t>ELISSON ANKLAM LINO</t>
  </si>
  <si>
    <t>ESTEFANY PAWLOWSKI</t>
  </si>
  <si>
    <t>EULALYA OLIVEIRA BARRILARI</t>
  </si>
  <si>
    <t>EVANDRO JOSE SKALINSKI</t>
  </si>
  <si>
    <t>FELIPE GONCALVES ESTIVIL BUSTOS</t>
  </si>
  <si>
    <t>FELIPE INACIO KREIN</t>
  </si>
  <si>
    <t>FERNANDA PEREIRA DE SOUZA</t>
  </si>
  <si>
    <t>FLÁVIA CAROLINA GUBERT</t>
  </si>
  <si>
    <t>GABRIEL DALCIN</t>
  </si>
  <si>
    <t>GUILHERME LIMANA BERWALDT</t>
  </si>
  <si>
    <t>GUILHERME PHILIPPSEN REBELLATO</t>
  </si>
  <si>
    <t>GUSTHAVO BORBA SIQUEIRA</t>
  </si>
  <si>
    <t>HENRIQUE AIMI</t>
  </si>
  <si>
    <t>ISABELA FRIEDRICH RIBAS</t>
  </si>
  <si>
    <t>IURI COLETTO BALENSIEFER</t>
  </si>
  <si>
    <t>JOAO AUGUSTO LEDUR</t>
  </si>
  <si>
    <t>JOAO PAULO BORKOWSKI</t>
  </si>
  <si>
    <t>JOÃO VICTOR FERREIRA DA ROCHA</t>
  </si>
  <si>
    <t>JOCEMAR BARCELOS PORTELA</t>
  </si>
  <si>
    <t>JULIANO LAURO ADAMSKI</t>
  </si>
  <si>
    <t>JUNIOR KOPP</t>
  </si>
  <si>
    <t>KESSIN KAUANE COPETTI</t>
  </si>
  <si>
    <t>LARISSA WERLE</t>
  </si>
  <si>
    <t>LENIN MOISINHO FERREIRA</t>
  </si>
  <si>
    <t>LETICIA WELTER</t>
  </si>
  <si>
    <t>LUCAS PARUSSOLO HEIMERDINGER</t>
  </si>
  <si>
    <t>LUCIANO WASZKIEWICZ</t>
  </si>
  <si>
    <t>MAIARA THALIA KRAUSE GRAMS</t>
  </si>
  <si>
    <t>MAICON FREIBERGER</t>
  </si>
  <si>
    <t>MAICON PINTO GEISS</t>
  </si>
  <si>
    <t>MARCOS ALEXANDRE HECK</t>
  </si>
  <si>
    <t>MATEUS GOLDSCHMIDT</t>
  </si>
  <si>
    <t>MATHEUS HOFFMANN JOHN</t>
  </si>
  <si>
    <t>MATHEUS MINIKEL</t>
  </si>
  <si>
    <t>NATALY DEL AGHNESE PUROLNIK</t>
  </si>
  <si>
    <t>NELIO VITORIO CLERICI</t>
  </si>
  <si>
    <t>PEDRO ALOISIO JASKULSKI THOMAS</t>
  </si>
  <si>
    <t>PIETRO DALCIN FRIZON</t>
  </si>
  <si>
    <t>RICARDO ADAMSKI</t>
  </si>
  <si>
    <t>RODRIGO DOMBROSKI</t>
  </si>
  <si>
    <t>THIAGO HENRIQUE DIEL</t>
  </si>
  <si>
    <t>TIAGO SILVEIRA FERRERA</t>
  </si>
  <si>
    <t>Dados individuais: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</si>
</sst>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1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7">
    <xf numFmtId="0" fontId="0" fillId="0" borderId="0" xfId="0"/>
    <xf numFmtId="0" fontId="0" fillId="0" borderId="3" xfId="0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4" fillId="0" borderId="0" xfId="0" applyFont="1" applyFill="1" applyBorder="1"/>
    <xf numFmtId="0" fontId="4" fillId="0" borderId="3" xfId="0" applyFont="1" applyFill="1" applyBorder="1"/>
    <xf numFmtId="0" fontId="0" fillId="0" borderId="10" xfId="0" applyFill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0" fillId="0" borderId="0" xfId="1" applyFont="1" applyFill="1" applyBorder="1"/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left" indent="1"/>
    </xf>
    <xf numFmtId="164" fontId="4" fillId="0" borderId="0" xfId="1" applyFont="1" applyFill="1" applyBorder="1"/>
    <xf numFmtId="164" fontId="0" fillId="0" borderId="0" xfId="0" applyNumberFormat="1" applyFill="1" applyBorder="1"/>
    <xf numFmtId="0" fontId="0" fillId="2" borderId="3" xfId="0" applyFill="1" applyBorder="1" applyAlignment="1">
      <alignment horizontal="center"/>
    </xf>
    <xf numFmtId="0" fontId="1" fillId="0" borderId="3" xfId="0" applyFont="1" applyBorder="1"/>
    <xf numFmtId="9" fontId="0" fillId="2" borderId="3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2" xfId="0" applyFont="1" applyFill="1" applyBorder="1"/>
    <xf numFmtId="0" fontId="0" fillId="0" borderId="0" xfId="0" applyFill="1"/>
    <xf numFmtId="0" fontId="6" fillId="0" borderId="12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Fill="1"/>
    <xf numFmtId="164" fontId="0" fillId="0" borderId="3" xfId="0" applyNumberFormat="1" applyFill="1" applyBorder="1"/>
    <xf numFmtId="0" fontId="0" fillId="0" borderId="13" xfId="0" applyFill="1" applyBorder="1"/>
    <xf numFmtId="0" fontId="0" fillId="0" borderId="15" xfId="0" applyFill="1" applyBorder="1" applyAlignment="1">
      <alignment horizontal="center"/>
    </xf>
    <xf numFmtId="0" fontId="0" fillId="0" borderId="3" xfId="0" applyFill="1" applyBorder="1"/>
    <xf numFmtId="0" fontId="1" fillId="0" borderId="3" xfId="0" applyFont="1" applyFill="1" applyBorder="1"/>
    <xf numFmtId="0" fontId="4" fillId="0" borderId="3" xfId="0" applyFont="1" applyFill="1" applyBorder="1" applyAlignment="1"/>
    <xf numFmtId="166" fontId="0" fillId="0" borderId="3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4" fillId="0" borderId="3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3" xfId="1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3" xfId="0" applyNumberFormat="1" applyFill="1" applyBorder="1"/>
    <xf numFmtId="164" fontId="4" fillId="0" borderId="20" xfId="0" applyNumberFormat="1" applyFont="1" applyFill="1" applyBorder="1"/>
    <xf numFmtId="10" fontId="0" fillId="0" borderId="3" xfId="0" applyNumberFormat="1" applyFill="1" applyBorder="1"/>
    <xf numFmtId="0" fontId="4" fillId="0" borderId="21" xfId="0" applyFont="1" applyFill="1" applyBorder="1"/>
    <xf numFmtId="164" fontId="4" fillId="0" borderId="22" xfId="0" applyNumberFormat="1" applyFont="1" applyFill="1" applyBorder="1"/>
    <xf numFmtId="0" fontId="4" fillId="0" borderId="19" xfId="0" applyFont="1" applyFill="1" applyBorder="1"/>
    <xf numFmtId="164" fontId="0" fillId="0" borderId="0" xfId="0" applyNumberFormat="1" applyFill="1"/>
    <xf numFmtId="0" fontId="4" fillId="0" borderId="16" xfId="0" applyFont="1" applyFill="1" applyBorder="1"/>
    <xf numFmtId="0" fontId="0" fillId="0" borderId="17" xfId="0" applyFill="1" applyBorder="1"/>
    <xf numFmtId="0" fontId="4" fillId="0" borderId="17" xfId="0" applyFont="1" applyFill="1" applyBorder="1"/>
    <xf numFmtId="0" fontId="0" fillId="0" borderId="18" xfId="0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4" fillId="0" borderId="13" xfId="0" applyFont="1" applyFill="1" applyBorder="1"/>
    <xf numFmtId="2" fontId="0" fillId="0" borderId="0" xfId="0" applyNumberFormat="1" applyFill="1" applyBorder="1"/>
    <xf numFmtId="0" fontId="0" fillId="0" borderId="16" xfId="0" applyFill="1" applyBorder="1"/>
    <xf numFmtId="2" fontId="4" fillId="0" borderId="0" xfId="0" applyNumberFormat="1" applyFont="1" applyFill="1" applyBorder="1"/>
    <xf numFmtId="2" fontId="0" fillId="0" borderId="0" xfId="0" applyNumberFormat="1" applyFill="1"/>
    <xf numFmtId="10" fontId="0" fillId="0" borderId="1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0" fillId="0" borderId="3" xfId="0" applyNumberForma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2" xfId="0" applyFont="1" applyFill="1" applyBorder="1"/>
    <xf numFmtId="0" fontId="1" fillId="0" borderId="0" xfId="0" applyFont="1"/>
    <xf numFmtId="166" fontId="4" fillId="0" borderId="25" xfId="0" applyNumberFormat="1" applyFont="1" applyFill="1" applyBorder="1" applyAlignment="1">
      <alignment horizontal="center"/>
    </xf>
    <xf numFmtId="166" fontId="4" fillId="0" borderId="3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1" fillId="0" borderId="3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 applyFill="1" applyBorder="1"/>
    <xf numFmtId="9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5" fillId="0" borderId="0" xfId="0" applyFont="1" applyFill="1" applyAlignment="1"/>
    <xf numFmtId="1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0" fillId="0" borderId="3" xfId="0" applyNumberFormat="1" applyBorder="1" applyAlignment="1">
      <alignment horizontal="center"/>
    </xf>
    <xf numFmtId="0" fontId="0" fillId="0" borderId="0" xfId="0" applyNumberFormat="1"/>
    <xf numFmtId="4" fontId="0" fillId="0" borderId="0" xfId="0" applyNumberFormat="1" applyFill="1"/>
    <xf numFmtId="2" fontId="3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3" xfId="0" applyFont="1" applyFill="1" applyBorder="1"/>
    <xf numFmtId="0" fontId="4" fillId="0" borderId="0" xfId="0" applyFont="1"/>
    <xf numFmtId="10" fontId="0" fillId="0" borderId="3" xfId="0" applyNumberFormat="1" applyFill="1" applyBorder="1" applyAlignment="1">
      <alignment horizontal="center"/>
    </xf>
    <xf numFmtId="0" fontId="4" fillId="0" borderId="26" xfId="0" applyFont="1" applyFill="1" applyBorder="1"/>
    <xf numFmtId="0" fontId="4" fillId="0" borderId="22" xfId="0" applyFont="1" applyFill="1" applyBorder="1"/>
    <xf numFmtId="43" fontId="0" fillId="0" borderId="0" xfId="0" applyNumberFormat="1" applyFill="1"/>
    <xf numFmtId="4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9" fontId="0" fillId="0" borderId="3" xfId="2" applyFont="1" applyBorder="1" applyAlignment="1">
      <alignment horizontal="center"/>
    </xf>
    <xf numFmtId="1" fontId="0" fillId="0" borderId="3" xfId="2" applyNumberFormat="1" applyFont="1" applyBorder="1" applyAlignment="1">
      <alignment horizontal="center"/>
    </xf>
    <xf numFmtId="9" fontId="0" fillId="4" borderId="3" xfId="2" applyFont="1" applyFill="1" applyBorder="1" applyAlignment="1">
      <alignment horizontal="center"/>
    </xf>
    <xf numFmtId="1" fontId="0" fillId="4" borderId="3" xfId="2" applyNumberFormat="1" applyFont="1" applyFill="1" applyBorder="1" applyAlignment="1">
      <alignment horizontal="center"/>
    </xf>
    <xf numFmtId="164" fontId="4" fillId="0" borderId="23" xfId="0" applyNumberFormat="1" applyFont="1" applyFill="1" applyBorder="1"/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9" fontId="0" fillId="0" borderId="3" xfId="2" applyFont="1" applyFill="1" applyBorder="1" applyAlignment="1">
      <alignment horizontal="center"/>
    </xf>
    <xf numFmtId="1" fontId="0" fillId="0" borderId="3" xfId="2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2" fillId="0" borderId="0" xfId="0" applyNumberFormat="1" applyFont="1" applyFill="1" applyBorder="1"/>
    <xf numFmtId="2" fontId="3" fillId="0" borderId="0" xfId="0" applyNumberFormat="1" applyFont="1" applyFill="1" applyBorder="1"/>
    <xf numFmtId="2" fontId="0" fillId="0" borderId="5" xfId="0" applyNumberFormat="1" applyFill="1" applyBorder="1"/>
    <xf numFmtId="2" fontId="3" fillId="0" borderId="3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3" xfId="0" applyNumberFormat="1" applyFont="1" applyFill="1" applyBorder="1"/>
    <xf numFmtId="2" fontId="4" fillId="0" borderId="12" xfId="0" applyNumberFormat="1" applyFont="1" applyFill="1" applyBorder="1" applyAlignment="1">
      <alignment horizontal="center"/>
    </xf>
    <xf numFmtId="2" fontId="0" fillId="0" borderId="12" xfId="1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4" fillId="2" borderId="24" xfId="1" applyNumberFormat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center"/>
    </xf>
    <xf numFmtId="2" fontId="0" fillId="0" borderId="24" xfId="1" applyNumberFormat="1" applyFont="1" applyFill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0" fillId="0" borderId="3" xfId="1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0" fontId="0" fillId="2" borderId="3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0" fillId="2" borderId="3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2" fontId="0" fillId="2" borderId="2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tabSelected="1" workbookViewId="0">
      <selection activeCell="A3" sqref="A3"/>
    </sheetView>
  </sheetViews>
  <sheetFormatPr defaultRowHeight="12.75" x14ac:dyDescent="0.2"/>
  <cols>
    <col min="2" max="2" width="16.85546875" customWidth="1"/>
    <col min="3" max="3" width="54" customWidth="1"/>
    <col min="4" max="6" width="12.140625" customWidth="1"/>
  </cols>
  <sheetData>
    <row r="1" spans="1:6" x14ac:dyDescent="0.2">
      <c r="A1" s="87" t="s">
        <v>305</v>
      </c>
    </row>
    <row r="3" spans="1:6" ht="25.5" x14ac:dyDescent="0.2">
      <c r="A3" s="140" t="s">
        <v>242</v>
      </c>
      <c r="B3" s="141" t="s">
        <v>243</v>
      </c>
      <c r="C3" s="141" t="s">
        <v>244</v>
      </c>
      <c r="D3" s="133" t="s">
        <v>119</v>
      </c>
      <c r="E3" s="133" t="s">
        <v>245</v>
      </c>
      <c r="F3" s="133" t="s">
        <v>246</v>
      </c>
    </row>
    <row r="4" spans="1:6" x14ac:dyDescent="0.2">
      <c r="A4" s="1">
        <v>1</v>
      </c>
      <c r="B4" s="142">
        <v>1714500052</v>
      </c>
      <c r="C4" s="143" t="s">
        <v>253</v>
      </c>
      <c r="D4" s="134">
        <v>0.86</v>
      </c>
      <c r="E4" s="135">
        <v>20</v>
      </c>
      <c r="F4" s="135">
        <v>10</v>
      </c>
    </row>
    <row r="5" spans="1:6" x14ac:dyDescent="0.2">
      <c r="A5" s="144">
        <f>A4+1</f>
        <v>2</v>
      </c>
      <c r="B5" s="145">
        <v>1714500001</v>
      </c>
      <c r="C5" s="146" t="s">
        <v>254</v>
      </c>
      <c r="D5" s="136">
        <v>0.85</v>
      </c>
      <c r="E5" s="137">
        <v>21</v>
      </c>
      <c r="F5" s="137">
        <v>14</v>
      </c>
    </row>
    <row r="6" spans="1:6" x14ac:dyDescent="0.2">
      <c r="A6" s="1">
        <f t="shared" ref="A6:A55" si="0">A5+1</f>
        <v>3</v>
      </c>
      <c r="B6" s="142">
        <v>1714500030</v>
      </c>
      <c r="C6" s="143" t="s">
        <v>255</v>
      </c>
      <c r="D6" s="134">
        <v>0.86</v>
      </c>
      <c r="E6" s="135">
        <v>20</v>
      </c>
      <c r="F6" s="135">
        <v>15</v>
      </c>
    </row>
    <row r="7" spans="1:6" x14ac:dyDescent="0.2">
      <c r="A7" s="144">
        <f t="shared" si="0"/>
        <v>4</v>
      </c>
      <c r="B7" s="145">
        <v>1714500013</v>
      </c>
      <c r="C7" s="146" t="s">
        <v>256</v>
      </c>
      <c r="D7" s="136">
        <v>0.88</v>
      </c>
      <c r="E7" s="137">
        <v>25</v>
      </c>
      <c r="F7" s="137">
        <v>12</v>
      </c>
    </row>
    <row r="8" spans="1:6" x14ac:dyDescent="0.2">
      <c r="A8" s="1">
        <f t="shared" si="0"/>
        <v>5</v>
      </c>
      <c r="B8" s="142">
        <v>1814500036</v>
      </c>
      <c r="C8" s="143" t="s">
        <v>257</v>
      </c>
      <c r="D8" s="134">
        <v>0.86</v>
      </c>
      <c r="E8" s="135">
        <v>23</v>
      </c>
      <c r="F8" s="135">
        <v>12</v>
      </c>
    </row>
    <row r="9" spans="1:6" x14ac:dyDescent="0.2">
      <c r="A9" s="144">
        <f t="shared" si="0"/>
        <v>6</v>
      </c>
      <c r="B9" s="145">
        <v>1714500035</v>
      </c>
      <c r="C9" s="146" t="s">
        <v>258</v>
      </c>
      <c r="D9" s="136">
        <v>0.89</v>
      </c>
      <c r="E9" s="137">
        <v>25</v>
      </c>
      <c r="F9" s="137">
        <v>12</v>
      </c>
    </row>
    <row r="10" spans="1:6" x14ac:dyDescent="0.2">
      <c r="A10" s="1">
        <f t="shared" si="0"/>
        <v>7</v>
      </c>
      <c r="B10" s="142">
        <v>1814500022</v>
      </c>
      <c r="C10" s="143" t="s">
        <v>259</v>
      </c>
      <c r="D10" s="134">
        <v>0.88</v>
      </c>
      <c r="E10" s="135">
        <v>24</v>
      </c>
      <c r="F10" s="135">
        <v>10</v>
      </c>
    </row>
    <row r="11" spans="1:6" x14ac:dyDescent="0.2">
      <c r="A11" s="144">
        <f t="shared" si="0"/>
        <v>8</v>
      </c>
      <c r="B11" s="145">
        <v>1714500037</v>
      </c>
      <c r="C11" s="146" t="s">
        <v>260</v>
      </c>
      <c r="D11" s="136">
        <v>0.88</v>
      </c>
      <c r="E11" s="137">
        <v>24</v>
      </c>
      <c r="F11" s="137">
        <v>13</v>
      </c>
    </row>
    <row r="12" spans="1:6" x14ac:dyDescent="0.2">
      <c r="A12" s="1">
        <f t="shared" si="0"/>
        <v>9</v>
      </c>
      <c r="B12" s="142">
        <v>1714500057</v>
      </c>
      <c r="C12" s="143" t="s">
        <v>261</v>
      </c>
      <c r="D12" s="134">
        <v>0.87</v>
      </c>
      <c r="E12" s="135">
        <v>21</v>
      </c>
      <c r="F12" s="135">
        <v>10</v>
      </c>
    </row>
    <row r="13" spans="1:6" x14ac:dyDescent="0.2">
      <c r="A13" s="144">
        <f t="shared" si="0"/>
        <v>10</v>
      </c>
      <c r="B13" s="145">
        <v>1714500027</v>
      </c>
      <c r="C13" s="146" t="s">
        <v>262</v>
      </c>
      <c r="D13" s="136">
        <v>0.88</v>
      </c>
      <c r="E13" s="137">
        <v>24</v>
      </c>
      <c r="F13" s="137">
        <v>14</v>
      </c>
    </row>
    <row r="14" spans="1:6" x14ac:dyDescent="0.2">
      <c r="A14" s="1">
        <f t="shared" si="0"/>
        <v>11</v>
      </c>
      <c r="B14" s="142">
        <v>1424500006</v>
      </c>
      <c r="C14" s="143" t="s">
        <v>263</v>
      </c>
      <c r="D14" s="134">
        <v>0.87</v>
      </c>
      <c r="E14" s="135">
        <v>24</v>
      </c>
      <c r="F14" s="135">
        <v>15</v>
      </c>
    </row>
    <row r="15" spans="1:6" x14ac:dyDescent="0.2">
      <c r="A15" s="144">
        <f t="shared" si="0"/>
        <v>12</v>
      </c>
      <c r="B15" s="145">
        <v>1714500014</v>
      </c>
      <c r="C15" s="146" t="s">
        <v>264</v>
      </c>
      <c r="D15" s="136">
        <v>0.86</v>
      </c>
      <c r="E15" s="137">
        <v>22</v>
      </c>
      <c r="F15" s="137">
        <v>11</v>
      </c>
    </row>
    <row r="16" spans="1:6" x14ac:dyDescent="0.2">
      <c r="A16" s="1">
        <f t="shared" si="0"/>
        <v>13</v>
      </c>
      <c r="B16" s="142">
        <v>1514500054</v>
      </c>
      <c r="C16" s="143" t="s">
        <v>265</v>
      </c>
      <c r="D16" s="134">
        <v>0.9</v>
      </c>
      <c r="E16" s="135">
        <v>22</v>
      </c>
      <c r="F16" s="135">
        <v>14</v>
      </c>
    </row>
    <row r="17" spans="1:6" x14ac:dyDescent="0.2">
      <c r="A17" s="144">
        <f t="shared" si="0"/>
        <v>14</v>
      </c>
      <c r="B17" s="145">
        <v>1714500047</v>
      </c>
      <c r="C17" s="146" t="s">
        <v>266</v>
      </c>
      <c r="D17" s="136">
        <v>0.87</v>
      </c>
      <c r="E17" s="137">
        <v>25</v>
      </c>
      <c r="F17" s="137">
        <v>14</v>
      </c>
    </row>
    <row r="18" spans="1:6" x14ac:dyDescent="0.2">
      <c r="A18" s="1">
        <f t="shared" si="0"/>
        <v>15</v>
      </c>
      <c r="B18" s="142">
        <v>1714500007</v>
      </c>
      <c r="C18" s="143" t="s">
        <v>267</v>
      </c>
      <c r="D18" s="134">
        <v>0.88</v>
      </c>
      <c r="E18" s="135">
        <v>20</v>
      </c>
      <c r="F18" s="135">
        <v>12</v>
      </c>
    </row>
    <row r="19" spans="1:6" x14ac:dyDescent="0.2">
      <c r="A19" s="144">
        <f t="shared" si="0"/>
        <v>16</v>
      </c>
      <c r="B19" s="145">
        <v>1714500038</v>
      </c>
      <c r="C19" s="146" t="s">
        <v>268</v>
      </c>
      <c r="D19" s="136">
        <v>0.87</v>
      </c>
      <c r="E19" s="137">
        <v>21</v>
      </c>
      <c r="F19" s="137">
        <v>11</v>
      </c>
    </row>
    <row r="20" spans="1:6" x14ac:dyDescent="0.2">
      <c r="A20" s="1">
        <f t="shared" si="0"/>
        <v>17</v>
      </c>
      <c r="B20" s="142">
        <v>1814500045</v>
      </c>
      <c r="C20" s="143" t="s">
        <v>269</v>
      </c>
      <c r="D20" s="134">
        <v>0.87</v>
      </c>
      <c r="E20" s="135">
        <v>24</v>
      </c>
      <c r="F20" s="135">
        <v>10</v>
      </c>
    </row>
    <row r="21" spans="1:6" x14ac:dyDescent="0.2">
      <c r="A21" s="144">
        <f t="shared" si="0"/>
        <v>18</v>
      </c>
      <c r="B21" s="145">
        <v>1814500025</v>
      </c>
      <c r="C21" s="146" t="s">
        <v>270</v>
      </c>
      <c r="D21" s="136">
        <v>0.89</v>
      </c>
      <c r="E21" s="137">
        <v>21</v>
      </c>
      <c r="F21" s="137">
        <v>13</v>
      </c>
    </row>
    <row r="22" spans="1:6" x14ac:dyDescent="0.2">
      <c r="A22" s="1">
        <f t="shared" si="0"/>
        <v>19</v>
      </c>
      <c r="B22" s="142">
        <v>1714500032</v>
      </c>
      <c r="C22" s="143" t="s">
        <v>271</v>
      </c>
      <c r="D22" s="134">
        <v>0.87</v>
      </c>
      <c r="E22" s="135">
        <v>23</v>
      </c>
      <c r="F22" s="135">
        <v>10</v>
      </c>
    </row>
    <row r="23" spans="1:6" x14ac:dyDescent="0.2">
      <c r="A23" s="144">
        <f t="shared" si="0"/>
        <v>20</v>
      </c>
      <c r="B23" s="145">
        <v>1414500053</v>
      </c>
      <c r="C23" s="146" t="s">
        <v>272</v>
      </c>
      <c r="D23" s="136">
        <v>0.88</v>
      </c>
      <c r="E23" s="137">
        <v>24</v>
      </c>
      <c r="F23" s="137">
        <v>15</v>
      </c>
    </row>
    <row r="24" spans="1:6" x14ac:dyDescent="0.2">
      <c r="A24" s="1">
        <f t="shared" si="0"/>
        <v>21</v>
      </c>
      <c r="B24" s="142">
        <v>1814500018</v>
      </c>
      <c r="C24" s="143" t="s">
        <v>273</v>
      </c>
      <c r="D24" s="134">
        <v>0.87</v>
      </c>
      <c r="E24" s="135">
        <v>21</v>
      </c>
      <c r="F24" s="135">
        <v>14</v>
      </c>
    </row>
    <row r="25" spans="1:6" x14ac:dyDescent="0.2">
      <c r="A25" s="144">
        <f t="shared" si="0"/>
        <v>22</v>
      </c>
      <c r="B25" s="145">
        <v>1814500030</v>
      </c>
      <c r="C25" s="146" t="s">
        <v>274</v>
      </c>
      <c r="D25" s="136">
        <v>0.86</v>
      </c>
      <c r="E25" s="137">
        <v>20</v>
      </c>
      <c r="F25" s="137">
        <v>14</v>
      </c>
    </row>
    <row r="26" spans="1:6" x14ac:dyDescent="0.2">
      <c r="A26" s="1">
        <f t="shared" si="0"/>
        <v>23</v>
      </c>
      <c r="B26" s="142">
        <v>1714500039</v>
      </c>
      <c r="C26" s="143" t="s">
        <v>275</v>
      </c>
      <c r="D26" s="134">
        <v>0.88</v>
      </c>
      <c r="E26" s="135">
        <v>21</v>
      </c>
      <c r="F26" s="135">
        <v>10</v>
      </c>
    </row>
    <row r="27" spans="1:6" x14ac:dyDescent="0.2">
      <c r="A27" s="144">
        <f t="shared" si="0"/>
        <v>24</v>
      </c>
      <c r="B27" s="145">
        <v>1714500054</v>
      </c>
      <c r="C27" s="146" t="s">
        <v>276</v>
      </c>
      <c r="D27" s="136">
        <v>0.85</v>
      </c>
      <c r="E27" s="137">
        <v>25</v>
      </c>
      <c r="F27" s="137">
        <v>15</v>
      </c>
    </row>
    <row r="28" spans="1:6" x14ac:dyDescent="0.2">
      <c r="A28" s="1">
        <f t="shared" si="0"/>
        <v>25</v>
      </c>
      <c r="B28" s="142">
        <v>1814500013</v>
      </c>
      <c r="C28" s="143" t="s">
        <v>277</v>
      </c>
      <c r="D28" s="134">
        <v>0.86</v>
      </c>
      <c r="E28" s="135">
        <v>21</v>
      </c>
      <c r="F28" s="135">
        <v>14</v>
      </c>
    </row>
    <row r="29" spans="1:6" x14ac:dyDescent="0.2">
      <c r="A29" s="144">
        <f t="shared" si="0"/>
        <v>26</v>
      </c>
      <c r="B29" s="145">
        <v>1714500034</v>
      </c>
      <c r="C29" s="146" t="s">
        <v>278</v>
      </c>
      <c r="D29" s="136">
        <v>0.88</v>
      </c>
      <c r="E29" s="137">
        <v>24</v>
      </c>
      <c r="F29" s="137">
        <v>12</v>
      </c>
    </row>
    <row r="30" spans="1:6" x14ac:dyDescent="0.2">
      <c r="A30" s="1">
        <f t="shared" si="0"/>
        <v>27</v>
      </c>
      <c r="B30" s="142">
        <v>1614500040</v>
      </c>
      <c r="C30" s="143" t="s">
        <v>279</v>
      </c>
      <c r="D30" s="134">
        <v>0.86</v>
      </c>
      <c r="E30" s="135">
        <v>23</v>
      </c>
      <c r="F30" s="135">
        <v>13</v>
      </c>
    </row>
    <row r="31" spans="1:6" x14ac:dyDescent="0.2">
      <c r="A31" s="144">
        <f t="shared" si="0"/>
        <v>28</v>
      </c>
      <c r="B31" s="145">
        <v>1814500021</v>
      </c>
      <c r="C31" s="146" t="s">
        <v>280</v>
      </c>
      <c r="D31" s="136">
        <v>0.87</v>
      </c>
      <c r="E31" s="137">
        <v>23</v>
      </c>
      <c r="F31" s="137">
        <v>12</v>
      </c>
    </row>
    <row r="32" spans="1:6" x14ac:dyDescent="0.2">
      <c r="A32" s="1">
        <f t="shared" si="0"/>
        <v>29</v>
      </c>
      <c r="B32" s="142">
        <v>1714500016</v>
      </c>
      <c r="C32" s="143" t="s">
        <v>281</v>
      </c>
      <c r="D32" s="134">
        <v>0.86</v>
      </c>
      <c r="E32" s="135">
        <v>22</v>
      </c>
      <c r="F32" s="135">
        <v>13</v>
      </c>
    </row>
    <row r="33" spans="1:6" x14ac:dyDescent="0.2">
      <c r="A33" s="144">
        <f t="shared" si="0"/>
        <v>30</v>
      </c>
      <c r="B33" s="145">
        <v>1614500054</v>
      </c>
      <c r="C33" s="146" t="s">
        <v>282</v>
      </c>
      <c r="D33" s="136">
        <v>0.86</v>
      </c>
      <c r="E33" s="137">
        <v>20</v>
      </c>
      <c r="F33" s="137">
        <v>12</v>
      </c>
    </row>
    <row r="34" spans="1:6" x14ac:dyDescent="0.2">
      <c r="A34" s="1">
        <f t="shared" si="0"/>
        <v>31</v>
      </c>
      <c r="B34" s="142">
        <v>1714500018</v>
      </c>
      <c r="C34" s="143" t="s">
        <v>283</v>
      </c>
      <c r="D34" s="134">
        <v>0.88</v>
      </c>
      <c r="E34" s="135">
        <v>23</v>
      </c>
      <c r="F34" s="135">
        <v>15</v>
      </c>
    </row>
    <row r="35" spans="1:6" x14ac:dyDescent="0.2">
      <c r="A35" s="144">
        <f t="shared" si="0"/>
        <v>32</v>
      </c>
      <c r="B35" s="145">
        <v>1714500036</v>
      </c>
      <c r="C35" s="146" t="s">
        <v>284</v>
      </c>
      <c r="D35" s="136">
        <v>0.85</v>
      </c>
      <c r="E35" s="137">
        <v>24</v>
      </c>
      <c r="F35" s="137">
        <v>12</v>
      </c>
    </row>
    <row r="36" spans="1:6" x14ac:dyDescent="0.2">
      <c r="A36" s="1">
        <f t="shared" si="0"/>
        <v>33</v>
      </c>
      <c r="B36" s="142">
        <v>1714500051</v>
      </c>
      <c r="C36" s="143" t="s">
        <v>285</v>
      </c>
      <c r="D36" s="134">
        <v>0.85</v>
      </c>
      <c r="E36" s="135">
        <v>21</v>
      </c>
      <c r="F36" s="135">
        <v>12</v>
      </c>
    </row>
    <row r="37" spans="1:6" x14ac:dyDescent="0.2">
      <c r="A37" s="144">
        <f t="shared" si="0"/>
        <v>34</v>
      </c>
      <c r="B37" s="145">
        <v>1714500042</v>
      </c>
      <c r="C37" s="146" t="s">
        <v>286</v>
      </c>
      <c r="D37" s="136">
        <v>0.88</v>
      </c>
      <c r="E37" s="137">
        <v>25</v>
      </c>
      <c r="F37" s="137">
        <v>15</v>
      </c>
    </row>
    <row r="38" spans="1:6" x14ac:dyDescent="0.2">
      <c r="A38" s="1">
        <f t="shared" si="0"/>
        <v>35</v>
      </c>
      <c r="B38" s="142">
        <v>1814500031</v>
      </c>
      <c r="C38" s="143" t="s">
        <v>287</v>
      </c>
      <c r="D38" s="134">
        <v>0.9</v>
      </c>
      <c r="E38" s="135">
        <v>21</v>
      </c>
      <c r="F38" s="135">
        <v>14</v>
      </c>
    </row>
    <row r="39" spans="1:6" x14ac:dyDescent="0.2">
      <c r="A39" s="144">
        <f t="shared" si="0"/>
        <v>36</v>
      </c>
      <c r="B39" s="145">
        <v>1814500019</v>
      </c>
      <c r="C39" s="146" t="s">
        <v>288</v>
      </c>
      <c r="D39" s="136">
        <v>0.9</v>
      </c>
      <c r="E39" s="137">
        <v>24</v>
      </c>
      <c r="F39" s="137">
        <v>13</v>
      </c>
    </row>
    <row r="40" spans="1:6" x14ac:dyDescent="0.2">
      <c r="A40" s="1">
        <f t="shared" si="0"/>
        <v>37</v>
      </c>
      <c r="B40" s="142">
        <v>1714500021</v>
      </c>
      <c r="C40" s="143" t="s">
        <v>289</v>
      </c>
      <c r="D40" s="134">
        <v>0.85</v>
      </c>
      <c r="E40" s="135">
        <v>21</v>
      </c>
      <c r="F40" s="135">
        <v>14</v>
      </c>
    </row>
    <row r="41" spans="1:6" x14ac:dyDescent="0.2">
      <c r="A41" s="144">
        <f t="shared" si="0"/>
        <v>38</v>
      </c>
      <c r="B41" s="145">
        <v>1714500029</v>
      </c>
      <c r="C41" s="146" t="s">
        <v>290</v>
      </c>
      <c r="D41" s="136">
        <v>0.9</v>
      </c>
      <c r="E41" s="137">
        <v>23</v>
      </c>
      <c r="F41" s="137">
        <v>10</v>
      </c>
    </row>
    <row r="42" spans="1:6" x14ac:dyDescent="0.2">
      <c r="A42" s="1">
        <f t="shared" si="0"/>
        <v>39</v>
      </c>
      <c r="B42" s="142">
        <v>1714500044</v>
      </c>
      <c r="C42" s="143" t="s">
        <v>291</v>
      </c>
      <c r="D42" s="147">
        <v>0.88</v>
      </c>
      <c r="E42" s="148">
        <v>25</v>
      </c>
      <c r="F42" s="148">
        <v>14</v>
      </c>
    </row>
    <row r="43" spans="1:6" x14ac:dyDescent="0.2">
      <c r="A43" s="144">
        <f t="shared" si="0"/>
        <v>40</v>
      </c>
      <c r="B43" s="145">
        <v>1814500006</v>
      </c>
      <c r="C43" s="146" t="s">
        <v>292</v>
      </c>
      <c r="D43" s="136">
        <v>0.88</v>
      </c>
      <c r="E43" s="137">
        <v>24</v>
      </c>
      <c r="F43" s="137">
        <v>12</v>
      </c>
    </row>
    <row r="44" spans="1:6" x14ac:dyDescent="0.2">
      <c r="A44" s="1">
        <f t="shared" si="0"/>
        <v>41</v>
      </c>
      <c r="B44" s="142">
        <v>1814500032</v>
      </c>
      <c r="C44" s="143" t="s">
        <v>293</v>
      </c>
      <c r="D44" s="147">
        <v>0.9</v>
      </c>
      <c r="E44" s="148">
        <v>22</v>
      </c>
      <c r="F44" s="148">
        <v>10</v>
      </c>
    </row>
    <row r="45" spans="1:6" x14ac:dyDescent="0.2">
      <c r="A45" s="144">
        <f t="shared" si="0"/>
        <v>42</v>
      </c>
      <c r="B45" s="145">
        <v>1714500040</v>
      </c>
      <c r="C45" s="146" t="s">
        <v>294</v>
      </c>
      <c r="D45" s="136">
        <v>0.86</v>
      </c>
      <c r="E45" s="137">
        <v>22</v>
      </c>
      <c r="F45" s="137">
        <v>13</v>
      </c>
    </row>
    <row r="46" spans="1:6" x14ac:dyDescent="0.2">
      <c r="A46" s="1">
        <f t="shared" si="0"/>
        <v>43</v>
      </c>
      <c r="B46" s="142">
        <v>1714500031</v>
      </c>
      <c r="C46" s="143" t="s">
        <v>295</v>
      </c>
      <c r="D46" s="147">
        <v>0.88</v>
      </c>
      <c r="E46" s="148">
        <v>23</v>
      </c>
      <c r="F46" s="148">
        <v>13</v>
      </c>
    </row>
    <row r="47" spans="1:6" x14ac:dyDescent="0.2">
      <c r="A47" s="144">
        <f t="shared" si="0"/>
        <v>44</v>
      </c>
      <c r="B47" s="145">
        <v>1714500008</v>
      </c>
      <c r="C47" s="146" t="s">
        <v>296</v>
      </c>
      <c r="D47" s="136">
        <v>0.9</v>
      </c>
      <c r="E47" s="137">
        <v>22</v>
      </c>
      <c r="F47" s="137">
        <v>11</v>
      </c>
    </row>
    <row r="48" spans="1:6" x14ac:dyDescent="0.2">
      <c r="A48" s="1">
        <f t="shared" si="0"/>
        <v>45</v>
      </c>
      <c r="B48" s="142">
        <v>1714500006</v>
      </c>
      <c r="C48" s="143" t="s">
        <v>297</v>
      </c>
      <c r="D48" s="147">
        <v>0.88</v>
      </c>
      <c r="E48" s="148">
        <v>23</v>
      </c>
      <c r="F48" s="148">
        <v>14</v>
      </c>
    </row>
    <row r="49" spans="1:6" x14ac:dyDescent="0.2">
      <c r="A49" s="144">
        <f t="shared" si="0"/>
        <v>46</v>
      </c>
      <c r="B49" s="145">
        <v>1714500033</v>
      </c>
      <c r="C49" s="146" t="s">
        <v>298</v>
      </c>
      <c r="D49" s="136">
        <v>0.87</v>
      </c>
      <c r="E49" s="137">
        <v>24</v>
      </c>
      <c r="F49" s="137">
        <v>13</v>
      </c>
    </row>
    <row r="50" spans="1:6" x14ac:dyDescent="0.2">
      <c r="A50" s="1">
        <f t="shared" si="0"/>
        <v>47</v>
      </c>
      <c r="B50" s="142">
        <v>1814500050</v>
      </c>
      <c r="C50" s="143" t="s">
        <v>299</v>
      </c>
      <c r="D50" s="147">
        <v>0.87</v>
      </c>
      <c r="E50" s="148">
        <v>22</v>
      </c>
      <c r="F50" s="148">
        <v>15</v>
      </c>
    </row>
    <row r="51" spans="1:6" x14ac:dyDescent="0.2">
      <c r="A51" s="144">
        <f t="shared" si="0"/>
        <v>48</v>
      </c>
      <c r="B51" s="145">
        <v>1714500028</v>
      </c>
      <c r="C51" s="146" t="s">
        <v>300</v>
      </c>
      <c r="D51" s="136">
        <v>0.87</v>
      </c>
      <c r="E51" s="137">
        <v>20</v>
      </c>
      <c r="F51" s="137">
        <v>15</v>
      </c>
    </row>
    <row r="52" spans="1:6" x14ac:dyDescent="0.2">
      <c r="A52" s="1">
        <f t="shared" si="0"/>
        <v>49</v>
      </c>
      <c r="B52" s="142">
        <v>1714500041</v>
      </c>
      <c r="C52" s="143" t="s">
        <v>301</v>
      </c>
      <c r="D52" s="147">
        <v>0.9</v>
      </c>
      <c r="E52" s="148">
        <v>22</v>
      </c>
      <c r="F52" s="148">
        <v>11</v>
      </c>
    </row>
    <row r="53" spans="1:6" x14ac:dyDescent="0.2">
      <c r="A53" s="144">
        <f t="shared" si="0"/>
        <v>50</v>
      </c>
      <c r="B53" s="145">
        <v>1714500011</v>
      </c>
      <c r="C53" s="146" t="s">
        <v>302</v>
      </c>
      <c r="D53" s="136">
        <v>0.9</v>
      </c>
      <c r="E53" s="137">
        <v>21</v>
      </c>
      <c r="F53" s="137">
        <v>12</v>
      </c>
    </row>
    <row r="54" spans="1:6" x14ac:dyDescent="0.2">
      <c r="A54" s="1">
        <f t="shared" si="0"/>
        <v>51</v>
      </c>
      <c r="B54" s="142">
        <v>1714500012</v>
      </c>
      <c r="C54" s="143" t="s">
        <v>303</v>
      </c>
      <c r="D54" s="147">
        <v>0.89</v>
      </c>
      <c r="E54" s="148">
        <v>25</v>
      </c>
      <c r="F54" s="148">
        <v>15</v>
      </c>
    </row>
    <row r="55" spans="1:6" x14ac:dyDescent="0.2">
      <c r="A55" s="144">
        <f t="shared" si="0"/>
        <v>52</v>
      </c>
      <c r="B55" s="145">
        <v>1814500001</v>
      </c>
      <c r="C55" s="146" t="s">
        <v>304</v>
      </c>
      <c r="D55" s="136">
        <v>0.89</v>
      </c>
      <c r="E55" s="137">
        <v>21</v>
      </c>
      <c r="F55" s="137">
        <v>14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zoomScale="110" zoomScaleNormal="110" workbookViewId="0">
      <selection activeCell="B21" sqref="B21"/>
    </sheetView>
  </sheetViews>
  <sheetFormatPr defaultRowHeight="12.75" x14ac:dyDescent="0.2"/>
  <cols>
    <col min="1" max="1" width="27.140625" customWidth="1"/>
    <col min="2" max="2" width="11.7109375" customWidth="1"/>
    <col min="3" max="3" width="10.85546875" bestFit="1" customWidth="1"/>
  </cols>
  <sheetData>
    <row r="1" spans="1:3" x14ac:dyDescent="0.2">
      <c r="A1" s="7" t="s">
        <v>117</v>
      </c>
    </row>
    <row r="3" spans="1:3" x14ac:dyDescent="0.2">
      <c r="A3" s="7" t="s">
        <v>118</v>
      </c>
    </row>
    <row r="5" spans="1:3" x14ac:dyDescent="0.2">
      <c r="A5" s="139" t="s">
        <v>119</v>
      </c>
      <c r="B5" s="26"/>
    </row>
    <row r="6" spans="1:3" x14ac:dyDescent="0.2">
      <c r="A6" s="25" t="s">
        <v>198</v>
      </c>
      <c r="B6" s="26"/>
    </row>
    <row r="7" spans="1:3" x14ac:dyDescent="0.2">
      <c r="A7" s="25" t="s">
        <v>167</v>
      </c>
      <c r="B7" s="129">
        <v>0.03</v>
      </c>
    </row>
    <row r="8" spans="1:3" x14ac:dyDescent="0.2">
      <c r="A8" s="2" t="s">
        <v>120</v>
      </c>
      <c r="B8" s="130">
        <v>2</v>
      </c>
    </row>
    <row r="10" spans="1:3" x14ac:dyDescent="0.2">
      <c r="A10" s="2" t="s">
        <v>121</v>
      </c>
      <c r="B10" s="16" t="s">
        <v>18</v>
      </c>
      <c r="C10" s="8" t="s">
        <v>155</v>
      </c>
    </row>
    <row r="11" spans="1:3" x14ac:dyDescent="0.2">
      <c r="A11" s="2" t="s">
        <v>122</v>
      </c>
      <c r="B11" s="17"/>
      <c r="C11" s="9">
        <f>C12+C13</f>
        <v>0</v>
      </c>
    </row>
    <row r="12" spans="1:3" x14ac:dyDescent="0.2">
      <c r="A12" s="2" t="s">
        <v>153</v>
      </c>
      <c r="B12" s="17"/>
      <c r="C12" s="9">
        <f>B12*1</f>
        <v>0</v>
      </c>
    </row>
    <row r="13" spans="1:3" x14ac:dyDescent="0.2">
      <c r="A13" s="2" t="s">
        <v>154</v>
      </c>
      <c r="B13" s="17"/>
      <c r="C13" s="9">
        <f>B13*0.8</f>
        <v>0</v>
      </c>
    </row>
    <row r="14" spans="1:3" x14ac:dyDescent="0.2">
      <c r="A14" s="2" t="s">
        <v>123</v>
      </c>
      <c r="B14" s="17"/>
      <c r="C14" s="9">
        <f>B14*0.4</f>
        <v>0</v>
      </c>
    </row>
    <row r="15" spans="1:3" x14ac:dyDescent="0.2">
      <c r="A15" s="2" t="s">
        <v>124</v>
      </c>
      <c r="B15" s="17"/>
      <c r="C15" s="9">
        <f>B15*0.4</f>
        <v>0</v>
      </c>
    </row>
    <row r="16" spans="1:3" x14ac:dyDescent="0.2">
      <c r="A16" s="2" t="s">
        <v>125</v>
      </c>
      <c r="B16" s="17"/>
      <c r="C16" s="9">
        <f>B16*0.8</f>
        <v>0</v>
      </c>
    </row>
    <row r="17" spans="1:3" x14ac:dyDescent="0.2">
      <c r="A17" s="2" t="s">
        <v>126</v>
      </c>
      <c r="B17" s="17"/>
      <c r="C17" s="9"/>
    </row>
    <row r="18" spans="1:3" x14ac:dyDescent="0.2">
      <c r="B18" s="110"/>
    </row>
    <row r="19" spans="1:3" x14ac:dyDescent="0.2">
      <c r="A19" s="2" t="s">
        <v>127</v>
      </c>
      <c r="B19" s="109">
        <f>B11+B15+B16</f>
        <v>0</v>
      </c>
      <c r="C19" s="9">
        <f>C11+C15+C16</f>
        <v>0</v>
      </c>
    </row>
    <row r="20" spans="1:3" x14ac:dyDescent="0.2">
      <c r="B20" s="110"/>
    </row>
    <row r="21" spans="1:3" x14ac:dyDescent="0.2">
      <c r="A21" s="25" t="s">
        <v>241</v>
      </c>
      <c r="B21" s="24"/>
      <c r="C21" s="149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activeCell="A8" sqref="A8"/>
    </sheetView>
  </sheetViews>
  <sheetFormatPr defaultRowHeight="12.75" x14ac:dyDescent="0.2"/>
  <cols>
    <col min="1" max="1" width="12.5703125" customWidth="1"/>
    <col min="2" max="2" width="7" customWidth="1"/>
    <col min="3" max="3" width="8.28515625" customWidth="1"/>
    <col min="4" max="13" width="7" customWidth="1"/>
    <col min="14" max="14" width="3.85546875" customWidth="1"/>
    <col min="15" max="15" width="11.42578125" customWidth="1"/>
    <col min="16" max="16" width="12.7109375" customWidth="1"/>
  </cols>
  <sheetData>
    <row r="1" spans="1:13" ht="15.75" x14ac:dyDescent="0.25">
      <c r="A1" s="106" t="s">
        <v>227</v>
      </c>
      <c r="B1" s="106"/>
      <c r="C1" s="106"/>
      <c r="D1" s="106"/>
      <c r="E1" s="106"/>
    </row>
    <row r="2" spans="1:13" x14ac:dyDescent="0.2">
      <c r="A2" s="29"/>
    </row>
    <row r="3" spans="1:13" ht="15" x14ac:dyDescent="0.2">
      <c r="A3" s="30" t="s">
        <v>164</v>
      </c>
      <c r="B3" s="99"/>
      <c r="C3" s="99"/>
      <c r="D3" s="99"/>
      <c r="E3" s="99"/>
      <c r="F3" s="99"/>
      <c r="G3" s="99"/>
      <c r="H3" s="100"/>
      <c r="I3" s="99"/>
      <c r="J3" s="100"/>
    </row>
    <row r="5" spans="1:13" x14ac:dyDescent="0.2">
      <c r="A5" s="117" t="s">
        <v>199</v>
      </c>
    </row>
    <row r="6" spans="1:13" x14ac:dyDescent="0.2">
      <c r="A6" s="87"/>
    </row>
    <row r="7" spans="1:13" x14ac:dyDescent="0.2">
      <c r="A7" s="87" t="s">
        <v>224</v>
      </c>
    </row>
    <row r="8" spans="1:13" x14ac:dyDescent="0.2">
      <c r="A8" s="25" t="s">
        <v>1</v>
      </c>
      <c r="B8" s="25" t="s">
        <v>141</v>
      </c>
      <c r="C8" s="25" t="s">
        <v>225</v>
      </c>
    </row>
    <row r="9" spans="1:13" x14ac:dyDescent="0.2">
      <c r="A9" s="42" t="s">
        <v>3</v>
      </c>
      <c r="B9" s="1">
        <f>'Cálculo básico'!B26</f>
        <v>17</v>
      </c>
      <c r="C9" s="1"/>
    </row>
    <row r="10" spans="1:13" x14ac:dyDescent="0.2">
      <c r="A10" s="42" t="s">
        <v>187</v>
      </c>
      <c r="B10" s="1">
        <f>'Cálculo básico'!B31</f>
        <v>17</v>
      </c>
      <c r="C10" s="1"/>
    </row>
    <row r="11" spans="1:13" x14ac:dyDescent="0.2">
      <c r="A11" s="42" t="s">
        <v>4</v>
      </c>
      <c r="B11" s="1">
        <f>'Cálculo básico'!B18</f>
        <v>0</v>
      </c>
      <c r="C11" s="9">
        <f>Rebanho!B12</f>
        <v>0</v>
      </c>
      <c r="D11" s="87" t="s">
        <v>252</v>
      </c>
    </row>
    <row r="12" spans="1:13" x14ac:dyDescent="0.2">
      <c r="A12" s="42" t="s">
        <v>5</v>
      </c>
      <c r="B12" s="1">
        <f>'Cálculo básico'!B36</f>
        <v>0.5</v>
      </c>
      <c r="C12" s="1"/>
    </row>
    <row r="13" spans="1:13" x14ac:dyDescent="0.2">
      <c r="A13" s="42" t="s">
        <v>21</v>
      </c>
      <c r="B13" s="1">
        <f>B9+B11+B12</f>
        <v>17.5</v>
      </c>
    </row>
    <row r="15" spans="1:13" x14ac:dyDescent="0.2">
      <c r="A15" s="103" t="s">
        <v>200</v>
      </c>
    </row>
    <row r="16" spans="1:13" x14ac:dyDescent="0.2">
      <c r="A16" s="25"/>
      <c r="B16" s="27" t="s">
        <v>201</v>
      </c>
      <c r="C16" s="27" t="s">
        <v>202</v>
      </c>
      <c r="D16" s="27" t="s">
        <v>203</v>
      </c>
      <c r="E16" s="27" t="s">
        <v>204</v>
      </c>
      <c r="F16" s="27" t="s">
        <v>205</v>
      </c>
      <c r="G16" s="27" t="s">
        <v>206</v>
      </c>
      <c r="H16" s="27" t="s">
        <v>207</v>
      </c>
      <c r="I16" s="27" t="s">
        <v>208</v>
      </c>
      <c r="J16" s="27" t="s">
        <v>209</v>
      </c>
      <c r="K16" s="27" t="s">
        <v>210</v>
      </c>
      <c r="L16" s="27" t="s">
        <v>211</v>
      </c>
      <c r="M16" s="27" t="s">
        <v>212</v>
      </c>
    </row>
    <row r="17" spans="1:13" x14ac:dyDescent="0.2">
      <c r="A17" s="42" t="s">
        <v>3</v>
      </c>
      <c r="B17" s="27">
        <f>$B$9*2</f>
        <v>34</v>
      </c>
      <c r="C17" s="27">
        <f>B9*2</f>
        <v>34</v>
      </c>
      <c r="D17" s="27">
        <f>B9</f>
        <v>17</v>
      </c>
      <c r="E17" s="27">
        <f>B9*3</f>
        <v>51</v>
      </c>
      <c r="F17" s="27">
        <f>B9*0</f>
        <v>0</v>
      </c>
      <c r="G17" s="27">
        <f>C9*0</f>
        <v>0</v>
      </c>
      <c r="H17" s="27">
        <f t="shared" ref="H17:J17" si="0">S15*0</f>
        <v>0</v>
      </c>
      <c r="I17" s="27">
        <f t="shared" si="0"/>
        <v>0</v>
      </c>
      <c r="J17" s="27">
        <f t="shared" si="0"/>
        <v>0</v>
      </c>
      <c r="K17" s="27">
        <f>B9*4</f>
        <v>68</v>
      </c>
      <c r="L17" s="27">
        <f>B9*5</f>
        <v>85</v>
      </c>
      <c r="M17" s="27">
        <f>B9*0</f>
        <v>0</v>
      </c>
    </row>
    <row r="18" spans="1:13" x14ac:dyDescent="0.2">
      <c r="A18" s="42" t="s">
        <v>187</v>
      </c>
      <c r="B18" s="27">
        <f>$B$10*0</f>
        <v>0</v>
      </c>
      <c r="C18" s="27">
        <f>$B$10*0</f>
        <v>0</v>
      </c>
      <c r="D18" s="27">
        <f>$B$10*0</f>
        <v>0</v>
      </c>
      <c r="E18" s="27">
        <f>$B$10*0</f>
        <v>0</v>
      </c>
      <c r="F18" s="27">
        <f>B10*3</f>
        <v>51</v>
      </c>
      <c r="G18" s="27">
        <f>B10</f>
        <v>17</v>
      </c>
      <c r="H18" s="27">
        <f>B10*0</f>
        <v>0</v>
      </c>
      <c r="I18" s="27">
        <f>B10</f>
        <v>17</v>
      </c>
      <c r="J18" s="27">
        <f>B10*2</f>
        <v>34</v>
      </c>
      <c r="K18" s="27">
        <f>$B$10*0</f>
        <v>0</v>
      </c>
      <c r="L18" s="27">
        <f>$B$10*0</f>
        <v>0</v>
      </c>
      <c r="M18" s="27">
        <f>$B$10*0</f>
        <v>0</v>
      </c>
    </row>
    <row r="19" spans="1:13" x14ac:dyDescent="0.2">
      <c r="A19" s="42" t="s">
        <v>4</v>
      </c>
      <c r="B19" s="105">
        <f>Rebanho!$B$12*10/60*2*30+2*(Rebanho!$B$19-Rebanho!$B$12)</f>
        <v>0</v>
      </c>
      <c r="C19" s="105">
        <f>Rebanho!$B$12*10/60*2*30+2*(Rebanho!$B$19-Rebanho!$B$12)</f>
        <v>0</v>
      </c>
      <c r="D19" s="105">
        <f>Rebanho!$B$12*10/60*2*30+2*(Rebanho!$B$19-Rebanho!$B$12)</f>
        <v>0</v>
      </c>
      <c r="E19" s="105">
        <f>Rebanho!$B$12*10/60*2*30+2*(Rebanho!$B$19-Rebanho!$B$12)</f>
        <v>0</v>
      </c>
      <c r="F19" s="105">
        <f>Rebanho!$B$12*10/60*2*30+2*(Rebanho!$B$19-Rebanho!$B$12)+'Cálculo básico'!D92*2</f>
        <v>0</v>
      </c>
      <c r="G19" s="105">
        <f>Rebanho!$B$12*10/60*2*30+2*(Rebanho!$B$19-Rebanho!$B$12)</f>
        <v>0</v>
      </c>
      <c r="H19" s="105">
        <f>Rebanho!$B$12*10/60*2*30+2*(Rebanho!$B$19-Rebanho!$B$12)</f>
        <v>0</v>
      </c>
      <c r="I19" s="105">
        <f>Rebanho!$B$12*10/60*2*30+2*(Rebanho!$B$19-Rebanho!$B$12)+'Cálculo básico'!D87*2</f>
        <v>0</v>
      </c>
      <c r="J19" s="105">
        <f>Rebanho!$B$12*10/60*2*30+2*(Rebanho!$B$19-Rebanho!$B$12)</f>
        <v>0</v>
      </c>
      <c r="K19" s="105">
        <f>Rebanho!$B$12*10/60*2*30+2*(Rebanho!$B$19-Rebanho!$B$12)</f>
        <v>0</v>
      </c>
      <c r="L19" s="105">
        <f>Rebanho!$B$12*10/60*2*30+2*(Rebanho!$B$19-Rebanho!$B$12)</f>
        <v>0</v>
      </c>
      <c r="M19" s="105">
        <f>Rebanho!$B$12*10/60*2*30+2*(Rebanho!$B$19-Rebanho!$B$12)</f>
        <v>0</v>
      </c>
    </row>
    <row r="20" spans="1:13" x14ac:dyDescent="0.2">
      <c r="A20" s="42" t="s">
        <v>5</v>
      </c>
      <c r="B20" s="27">
        <f>'Cálculo básico'!$B$36*30</f>
        <v>15</v>
      </c>
      <c r="C20" s="27">
        <f>'Cálculo básico'!$B$36*30</f>
        <v>15</v>
      </c>
      <c r="D20" s="27">
        <f>'Cálculo básico'!$B$36*30</f>
        <v>15</v>
      </c>
      <c r="E20" s="27">
        <f>'Cálculo básico'!$B$36*30</f>
        <v>15</v>
      </c>
      <c r="F20" s="27">
        <f>'Cálculo básico'!$B$36*30</f>
        <v>15</v>
      </c>
      <c r="G20" s="27">
        <f>'Cálculo básico'!$B$36*30</f>
        <v>15</v>
      </c>
      <c r="H20" s="27">
        <f>'Cálculo básico'!$B$36*30</f>
        <v>15</v>
      </c>
      <c r="I20" s="27">
        <f>'Cálculo básico'!$B$36*30</f>
        <v>15</v>
      </c>
      <c r="J20" s="27">
        <f>'Cálculo básico'!$B$36*30</f>
        <v>15</v>
      </c>
      <c r="K20" s="27">
        <f>'Cálculo básico'!$B$36*30</f>
        <v>15</v>
      </c>
      <c r="L20" s="27">
        <f>'Cálculo básico'!$B$36*30</f>
        <v>15</v>
      </c>
      <c r="M20" s="27">
        <f>'Cálculo básico'!$B$36*30</f>
        <v>15</v>
      </c>
    </row>
    <row r="21" spans="1:13" x14ac:dyDescent="0.2">
      <c r="A21" s="42" t="s">
        <v>222</v>
      </c>
      <c r="B21" s="27">
        <f>SUM(B17:B20)</f>
        <v>49</v>
      </c>
      <c r="C21" s="27">
        <f t="shared" ref="C21:M21" si="1">SUM(C17:C20)</f>
        <v>49</v>
      </c>
      <c r="D21" s="27">
        <f t="shared" si="1"/>
        <v>32</v>
      </c>
      <c r="E21" s="27">
        <f t="shared" si="1"/>
        <v>66</v>
      </c>
      <c r="F21" s="27">
        <f t="shared" si="1"/>
        <v>66</v>
      </c>
      <c r="G21" s="27">
        <f t="shared" si="1"/>
        <v>32</v>
      </c>
      <c r="H21" s="27">
        <f t="shared" si="1"/>
        <v>15</v>
      </c>
      <c r="I21" s="27">
        <f t="shared" si="1"/>
        <v>32</v>
      </c>
      <c r="J21" s="27">
        <f t="shared" si="1"/>
        <v>49</v>
      </c>
      <c r="K21" s="27">
        <f t="shared" si="1"/>
        <v>83</v>
      </c>
      <c r="L21" s="27">
        <f t="shared" si="1"/>
        <v>100</v>
      </c>
      <c r="M21" s="27">
        <f t="shared" si="1"/>
        <v>15</v>
      </c>
    </row>
    <row r="22" spans="1:13" x14ac:dyDescent="0.2">
      <c r="A22" s="42" t="s">
        <v>223</v>
      </c>
      <c r="B22" s="27">
        <f>208*'Cálculo básico'!$B$7</f>
        <v>312</v>
      </c>
      <c r="C22" s="27">
        <f>208*'Cálculo básico'!$B$7</f>
        <v>312</v>
      </c>
      <c r="D22" s="27">
        <f>208*'Cálculo básico'!$B$7</f>
        <v>312</v>
      </c>
      <c r="E22" s="27">
        <f>208*'Cálculo básico'!$B$7</f>
        <v>312</v>
      </c>
      <c r="F22" s="27">
        <f>208*'Cálculo básico'!$B$7</f>
        <v>312</v>
      </c>
      <c r="G22" s="27">
        <f>208*'Cálculo básico'!$B$7</f>
        <v>312</v>
      </c>
      <c r="H22" s="27">
        <f>208*'Cálculo básico'!$B$7</f>
        <v>312</v>
      </c>
      <c r="I22" s="27">
        <f>208*'Cálculo básico'!$B$7</f>
        <v>312</v>
      </c>
      <c r="J22" s="27">
        <f>208*'Cálculo básico'!$B$7</f>
        <v>312</v>
      </c>
      <c r="K22" s="27">
        <f>208*'Cálculo básico'!$B$7</f>
        <v>312</v>
      </c>
      <c r="L22" s="27">
        <f>208*'Cálculo básico'!$B$7</f>
        <v>312</v>
      </c>
      <c r="M22" s="27">
        <f>208*'Cálculo básico'!$B$7</f>
        <v>312</v>
      </c>
    </row>
    <row r="23" spans="1:13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">
      <c r="A24" s="103" t="s">
        <v>226</v>
      </c>
    </row>
    <row r="25" spans="1:13" x14ac:dyDescent="0.2">
      <c r="A25" s="25"/>
      <c r="B25" s="27" t="s">
        <v>201</v>
      </c>
      <c r="C25" s="27" t="s">
        <v>202</v>
      </c>
      <c r="D25" s="27" t="s">
        <v>203</v>
      </c>
      <c r="E25" s="27" t="s">
        <v>204</v>
      </c>
      <c r="F25" s="27" t="s">
        <v>205</v>
      </c>
      <c r="G25" s="27" t="s">
        <v>206</v>
      </c>
      <c r="H25" s="27" t="s">
        <v>207</v>
      </c>
      <c r="I25" s="27" t="s">
        <v>208</v>
      </c>
      <c r="J25" s="27" t="s">
        <v>209</v>
      </c>
      <c r="K25" s="27" t="s">
        <v>210</v>
      </c>
      <c r="L25" s="27" t="s">
        <v>211</v>
      </c>
      <c r="M25" s="27" t="s">
        <v>212</v>
      </c>
    </row>
    <row r="26" spans="1:13" x14ac:dyDescent="0.2">
      <c r="A26" s="42" t="s">
        <v>3</v>
      </c>
      <c r="B26" s="27">
        <f>B17</f>
        <v>34</v>
      </c>
      <c r="C26" s="27">
        <f t="shared" ref="C26:M26" si="2">C17</f>
        <v>34</v>
      </c>
      <c r="D26" s="27">
        <f t="shared" si="2"/>
        <v>17</v>
      </c>
      <c r="E26" s="27">
        <f t="shared" si="2"/>
        <v>51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68</v>
      </c>
      <c r="L26" s="27">
        <f t="shared" si="2"/>
        <v>85</v>
      </c>
      <c r="M26" s="27">
        <f t="shared" si="2"/>
        <v>0</v>
      </c>
    </row>
    <row r="27" spans="1:13" x14ac:dyDescent="0.2">
      <c r="A27" s="42" t="s">
        <v>187</v>
      </c>
      <c r="B27" s="27">
        <f>B18</f>
        <v>0</v>
      </c>
      <c r="C27" s="27">
        <f t="shared" ref="C27:M27" si="3">C18</f>
        <v>0</v>
      </c>
      <c r="D27" s="27">
        <f t="shared" si="3"/>
        <v>0</v>
      </c>
      <c r="E27" s="27">
        <f t="shared" si="3"/>
        <v>0</v>
      </c>
      <c r="F27" s="27">
        <f t="shared" si="3"/>
        <v>51</v>
      </c>
      <c r="G27" s="27">
        <f t="shared" si="3"/>
        <v>17</v>
      </c>
      <c r="H27" s="27">
        <f t="shared" si="3"/>
        <v>0</v>
      </c>
      <c r="I27" s="27">
        <f t="shared" si="3"/>
        <v>17</v>
      </c>
      <c r="J27" s="27">
        <f t="shared" si="3"/>
        <v>34</v>
      </c>
      <c r="K27" s="27">
        <f t="shared" si="3"/>
        <v>0</v>
      </c>
      <c r="L27" s="27">
        <f t="shared" si="3"/>
        <v>0</v>
      </c>
      <c r="M27" s="27">
        <f t="shared" si="3"/>
        <v>0</v>
      </c>
    </row>
    <row r="28" spans="1:13" x14ac:dyDescent="0.2">
      <c r="A28" s="42" t="s">
        <v>4</v>
      </c>
      <c r="B28" s="27">
        <f>C11</f>
        <v>0</v>
      </c>
      <c r="C28" s="27">
        <f t="shared" ref="C28:M28" si="4">$B$11</f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</row>
    <row r="29" spans="1:13" x14ac:dyDescent="0.2">
      <c r="A29" s="42" t="s">
        <v>5</v>
      </c>
      <c r="B29" s="27">
        <f t="shared" ref="B29:M29" si="5">$B$12</f>
        <v>0.5</v>
      </c>
      <c r="C29" s="27">
        <f t="shared" si="5"/>
        <v>0.5</v>
      </c>
      <c r="D29" s="27">
        <f t="shared" si="5"/>
        <v>0.5</v>
      </c>
      <c r="E29" s="27">
        <f t="shared" si="5"/>
        <v>0.5</v>
      </c>
      <c r="F29" s="27">
        <f t="shared" si="5"/>
        <v>0.5</v>
      </c>
      <c r="G29" s="27">
        <f t="shared" si="5"/>
        <v>0.5</v>
      </c>
      <c r="H29" s="27">
        <f t="shared" si="5"/>
        <v>0.5</v>
      </c>
      <c r="I29" s="27">
        <f t="shared" si="5"/>
        <v>0.5</v>
      </c>
      <c r="J29" s="27">
        <f t="shared" si="5"/>
        <v>0.5</v>
      </c>
      <c r="K29" s="27">
        <f t="shared" si="5"/>
        <v>0.5</v>
      </c>
      <c r="L29" s="27">
        <f t="shared" si="5"/>
        <v>0.5</v>
      </c>
      <c r="M29" s="27">
        <f t="shared" si="5"/>
        <v>0.5</v>
      </c>
    </row>
    <row r="30" spans="1:13" x14ac:dyDescent="0.2">
      <c r="A30" s="42" t="s">
        <v>235</v>
      </c>
      <c r="B30" s="27">
        <f>SUM(B26:B29)</f>
        <v>34.5</v>
      </c>
      <c r="C30" s="27">
        <f t="shared" ref="C30" si="6">SUM(C26:C29)</f>
        <v>34.5</v>
      </c>
      <c r="D30" s="27">
        <f t="shared" ref="D30" si="7">SUM(D26:D29)</f>
        <v>17.5</v>
      </c>
      <c r="E30" s="27">
        <f t="shared" ref="E30" si="8">SUM(E26:E29)</f>
        <v>51.5</v>
      </c>
      <c r="F30" s="27">
        <f t="shared" ref="F30" si="9">SUM(F26:F29)</f>
        <v>51.5</v>
      </c>
      <c r="G30" s="27">
        <f t="shared" ref="G30" si="10">SUM(G26:G29)</f>
        <v>17.5</v>
      </c>
      <c r="H30" s="27">
        <f t="shared" ref="H30" si="11">SUM(H26:H29)</f>
        <v>0.5</v>
      </c>
      <c r="I30" s="27">
        <f t="shared" ref="I30" si="12">SUM(I26:I29)</f>
        <v>17.5</v>
      </c>
      <c r="J30" s="27">
        <f t="shared" ref="J30" si="13">SUM(J26:J29)</f>
        <v>34.5</v>
      </c>
      <c r="K30" s="27">
        <f t="shared" ref="K30" si="14">SUM(K26:K29)</f>
        <v>68.5</v>
      </c>
      <c r="L30" s="27">
        <f t="shared" ref="L30" si="15">SUM(L26:L29)</f>
        <v>85.5</v>
      </c>
      <c r="M30" s="27">
        <f t="shared" ref="M30" si="16">SUM(M26:M29)</f>
        <v>0.5</v>
      </c>
    </row>
    <row r="32" spans="1:13" x14ac:dyDescent="0.2">
      <c r="A32" s="87" t="s">
        <v>12</v>
      </c>
    </row>
    <row r="33" spans="1:13" x14ac:dyDescent="0.2">
      <c r="A33" s="25"/>
      <c r="B33" s="27" t="s">
        <v>201</v>
      </c>
      <c r="C33" s="27" t="s">
        <v>202</v>
      </c>
      <c r="D33" s="27" t="s">
        <v>203</v>
      </c>
      <c r="E33" s="27" t="s">
        <v>204</v>
      </c>
      <c r="F33" s="27" t="s">
        <v>205</v>
      </c>
      <c r="G33" s="27" t="s">
        <v>206</v>
      </c>
      <c r="H33" s="27" t="s">
        <v>207</v>
      </c>
      <c r="I33" s="27" t="s">
        <v>208</v>
      </c>
      <c r="J33" s="27" t="s">
        <v>209</v>
      </c>
      <c r="K33" s="27" t="s">
        <v>210</v>
      </c>
      <c r="L33" s="27" t="s">
        <v>211</v>
      </c>
      <c r="M33" s="27" t="s">
        <v>212</v>
      </c>
    </row>
    <row r="34" spans="1:13" x14ac:dyDescent="0.2">
      <c r="A34" s="42" t="s">
        <v>3</v>
      </c>
      <c r="B34" s="27">
        <f>'Cálculo básico'!$B$26</f>
        <v>17</v>
      </c>
      <c r="C34" s="27">
        <f>'Cálculo básico'!$B$26</f>
        <v>17</v>
      </c>
      <c r="D34" s="27">
        <f>'Cálculo básico'!$B$26</f>
        <v>17</v>
      </c>
      <c r="E34" s="27">
        <f>'Cálculo básico'!$B$26</f>
        <v>17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f>'Cálculo básico'!$B$26</f>
        <v>17</v>
      </c>
      <c r="M34" s="27">
        <f>'Cálculo básico'!$B$26</f>
        <v>17</v>
      </c>
    </row>
    <row r="35" spans="1:13" x14ac:dyDescent="0.2">
      <c r="A35" s="42" t="s">
        <v>187</v>
      </c>
      <c r="B35" s="27">
        <v>0</v>
      </c>
      <c r="C35" s="27">
        <v>0</v>
      </c>
      <c r="D35" s="27">
        <v>0</v>
      </c>
      <c r="E35" s="27">
        <v>0</v>
      </c>
      <c r="F35" s="27">
        <f>'Cálculo básico'!$B$31</f>
        <v>17</v>
      </c>
      <c r="G35" s="27">
        <f>'Cálculo básico'!$B$31</f>
        <v>17</v>
      </c>
      <c r="H35" s="27">
        <f>'Cálculo básico'!$B$31</f>
        <v>17</v>
      </c>
      <c r="I35" s="27">
        <f>'Cálculo básico'!$B$31</f>
        <v>17</v>
      </c>
      <c r="J35" s="27">
        <f>'Cálculo básico'!$B$31</f>
        <v>17</v>
      </c>
      <c r="K35" s="27">
        <f>'Cálculo básico'!$B$31</f>
        <v>17</v>
      </c>
      <c r="L35" s="27">
        <v>0</v>
      </c>
      <c r="M35" s="27">
        <v>0</v>
      </c>
    </row>
    <row r="36" spans="1:13" x14ac:dyDescent="0.2">
      <c r="A36" s="42" t="s">
        <v>4</v>
      </c>
      <c r="B36" s="27">
        <f>'Cálculo básico'!$B$18</f>
        <v>0</v>
      </c>
      <c r="C36" s="27">
        <f>'Cálculo básico'!$B$18</f>
        <v>0</v>
      </c>
      <c r="D36" s="27">
        <f>'Cálculo básico'!$B$18</f>
        <v>0</v>
      </c>
      <c r="E36" s="27">
        <f>'Cálculo básico'!$B$18</f>
        <v>0</v>
      </c>
      <c r="F36" s="27">
        <f>'Cálculo básico'!$B$18</f>
        <v>0</v>
      </c>
      <c r="G36" s="27">
        <f>'Cálculo básico'!$B$18</f>
        <v>0</v>
      </c>
      <c r="H36" s="27">
        <f>'Cálculo básico'!$B$18</f>
        <v>0</v>
      </c>
      <c r="I36" s="27">
        <f>'Cálculo básico'!$B$18</f>
        <v>0</v>
      </c>
      <c r="J36" s="27">
        <f>'Cálculo básico'!$B$18</f>
        <v>0</v>
      </c>
      <c r="K36" s="27">
        <f>'Cálculo básico'!$B$18</f>
        <v>0</v>
      </c>
      <c r="L36" s="27">
        <f>'Cálculo básico'!$B$18</f>
        <v>0</v>
      </c>
      <c r="M36" s="27">
        <f>'Cálculo básico'!$B$18</f>
        <v>0</v>
      </c>
    </row>
    <row r="37" spans="1:13" x14ac:dyDescent="0.2">
      <c r="A37" s="42" t="s">
        <v>5</v>
      </c>
      <c r="B37" s="27">
        <f>'Cálculo básico'!$B$36</f>
        <v>0.5</v>
      </c>
      <c r="C37" s="27">
        <f>'Cálculo básico'!$B$36</f>
        <v>0.5</v>
      </c>
      <c r="D37" s="27">
        <f>'Cálculo básico'!$B$36</f>
        <v>0.5</v>
      </c>
      <c r="E37" s="27">
        <f>'Cálculo básico'!$B$36</f>
        <v>0.5</v>
      </c>
      <c r="F37" s="27">
        <f>'Cálculo básico'!$B$36</f>
        <v>0.5</v>
      </c>
      <c r="G37" s="27">
        <f>'Cálculo básico'!$B$36</f>
        <v>0.5</v>
      </c>
      <c r="H37" s="27">
        <f>'Cálculo básico'!$B$36</f>
        <v>0.5</v>
      </c>
      <c r="I37" s="27">
        <f>'Cálculo básico'!$B$36</f>
        <v>0.5</v>
      </c>
      <c r="J37" s="27">
        <f>'Cálculo básico'!$B$36</f>
        <v>0.5</v>
      </c>
      <c r="K37" s="27">
        <f>'Cálculo básico'!$B$36</f>
        <v>0.5</v>
      </c>
      <c r="L37" s="27">
        <f>'Cálculo básico'!$B$36</f>
        <v>0.5</v>
      </c>
      <c r="M37" s="27">
        <f>'Cálculo básico'!$B$36</f>
        <v>0.5</v>
      </c>
    </row>
    <row r="38" spans="1:13" x14ac:dyDescent="0.2">
      <c r="A38" s="42" t="s">
        <v>236</v>
      </c>
      <c r="B38" s="27">
        <f>SUM(B34:B37)</f>
        <v>17.5</v>
      </c>
      <c r="C38" s="27">
        <f t="shared" ref="C38" si="17">SUM(C34:C37)</f>
        <v>17.5</v>
      </c>
      <c r="D38" s="27">
        <f t="shared" ref="D38" si="18">SUM(D34:D37)</f>
        <v>17.5</v>
      </c>
      <c r="E38" s="27">
        <f t="shared" ref="E38" si="19">SUM(E34:E37)</f>
        <v>17.5</v>
      </c>
      <c r="F38" s="27">
        <f t="shared" ref="F38" si="20">SUM(F34:F37)</f>
        <v>17.5</v>
      </c>
      <c r="G38" s="27">
        <f t="shared" ref="G38" si="21">SUM(G34:G37)</f>
        <v>17.5</v>
      </c>
      <c r="H38" s="27">
        <f t="shared" ref="H38" si="22">SUM(H34:H37)</f>
        <v>17.5</v>
      </c>
      <c r="I38" s="27">
        <f t="shared" ref="I38" si="23">SUM(I34:I37)</f>
        <v>17.5</v>
      </c>
      <c r="J38" s="27">
        <f t="shared" ref="J38" si="24">SUM(J34:J37)</f>
        <v>17.5</v>
      </c>
      <c r="K38" s="27">
        <f t="shared" ref="K38" si="25">SUM(K34:K37)</f>
        <v>17.5</v>
      </c>
      <c r="L38" s="27">
        <f t="shared" ref="L38" si="26">SUM(L34:L37)</f>
        <v>17.5</v>
      </c>
      <c r="M38" s="27">
        <f t="shared" ref="M38" si="27">SUM(M34:M37)</f>
        <v>17.5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showGridLines="0" zoomScale="110" zoomScaleNormal="110" zoomScalePageLayoutView="90" workbookViewId="0">
      <selection activeCell="B5" sqref="B5"/>
    </sheetView>
  </sheetViews>
  <sheetFormatPr defaultRowHeight="12.75" x14ac:dyDescent="0.2"/>
  <cols>
    <col min="1" max="1" width="23.5703125" style="29" customWidth="1"/>
    <col min="2" max="2" width="14" style="29" customWidth="1"/>
    <col min="3" max="3" width="15.85546875" style="29" customWidth="1"/>
    <col min="4" max="4" width="23.28515625" style="29" customWidth="1"/>
    <col min="5" max="5" width="18.85546875" style="175" customWidth="1"/>
    <col min="6" max="6" width="14.85546875" style="79" customWidth="1"/>
    <col min="7" max="7" width="11" style="29" customWidth="1"/>
    <col min="8" max="8" width="10.28515625" style="29" customWidth="1"/>
    <col min="9" max="16384" width="9.140625" style="29"/>
  </cols>
  <sheetData>
    <row r="1" spans="1:15" ht="15.75" x14ac:dyDescent="0.25">
      <c r="A1" s="106" t="s">
        <v>227</v>
      </c>
      <c r="B1" s="106"/>
      <c r="C1" s="106"/>
      <c r="D1" s="106"/>
      <c r="E1" s="173"/>
    </row>
    <row r="3" spans="1:15" ht="18" x14ac:dyDescent="0.25">
      <c r="A3" s="211" t="s">
        <v>164</v>
      </c>
      <c r="B3" s="212"/>
      <c r="C3" s="212"/>
      <c r="D3" s="212"/>
      <c r="E3" s="213"/>
      <c r="F3" s="151"/>
      <c r="G3" s="31"/>
      <c r="H3" s="31"/>
      <c r="I3" s="20"/>
      <c r="J3" s="20"/>
      <c r="K3" s="20"/>
      <c r="L3" s="20"/>
      <c r="M3" s="20"/>
      <c r="N3" s="20"/>
      <c r="O3" s="20"/>
    </row>
    <row r="4" spans="1:15" x14ac:dyDescent="0.2">
      <c r="A4" s="20"/>
      <c r="B4" s="20"/>
      <c r="C4" s="32"/>
      <c r="D4" s="32"/>
      <c r="E4" s="174"/>
      <c r="F4" s="152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 x14ac:dyDescent="0.25">
      <c r="A5" s="5" t="s">
        <v>111</v>
      </c>
      <c r="B5" s="5">
        <v>20</v>
      </c>
    </row>
    <row r="6" spans="1:15" x14ac:dyDescent="0.2">
      <c r="A6" s="5" t="s">
        <v>112</v>
      </c>
      <c r="B6" s="5">
        <v>17.5</v>
      </c>
      <c r="C6" s="52">
        <f>B18+B26+B36</f>
        <v>17.5</v>
      </c>
      <c r="D6" s="33" t="str">
        <f t="shared" ref="D6:D15" si="0">A146</f>
        <v>Quadro Síntese dos Resultados Econômicos</v>
      </c>
      <c r="E6" s="176"/>
      <c r="F6" s="153"/>
      <c r="G6" s="34"/>
    </row>
    <row r="7" spans="1:15" x14ac:dyDescent="0.2">
      <c r="A7" s="5" t="s">
        <v>113</v>
      </c>
      <c r="B7" s="5">
        <v>1.5</v>
      </c>
      <c r="D7" s="101" t="str">
        <f t="shared" si="0"/>
        <v>S.A.U.</v>
      </c>
      <c r="E7" s="177">
        <f>B147</f>
        <v>17.5</v>
      </c>
      <c r="F7" s="58" t="str">
        <f>C147</f>
        <v>UTF = UT</v>
      </c>
      <c r="G7" s="102">
        <f>D147</f>
        <v>1.5</v>
      </c>
    </row>
    <row r="8" spans="1:15" x14ac:dyDescent="0.2">
      <c r="D8" s="6" t="str">
        <f t="shared" si="0"/>
        <v>Itens</v>
      </c>
      <c r="E8" s="171" t="str">
        <f t="shared" ref="E8:E16" si="1">B148</f>
        <v>Valor Total</v>
      </c>
      <c r="F8" s="154" t="s">
        <v>137</v>
      </c>
      <c r="G8" s="36" t="str">
        <f t="shared" ref="G8:G17" si="2">D148</f>
        <v>% PB</v>
      </c>
    </row>
    <row r="9" spans="1:15" x14ac:dyDescent="0.2">
      <c r="A9" s="37" t="s">
        <v>0</v>
      </c>
      <c r="B9" s="37"/>
      <c r="D9" s="6" t="str">
        <f t="shared" si="0"/>
        <v>PB</v>
      </c>
      <c r="E9" s="171">
        <f t="shared" si="1"/>
        <v>0</v>
      </c>
      <c r="F9" s="50">
        <f t="shared" ref="F9:F17" si="3">C149</f>
        <v>0</v>
      </c>
      <c r="G9" s="74">
        <f t="shared" si="2"/>
        <v>1</v>
      </c>
      <c r="J9" s="111"/>
    </row>
    <row r="10" spans="1:15" x14ac:dyDescent="0.2">
      <c r="A10" s="28" t="s">
        <v>1</v>
      </c>
      <c r="B10" s="18" t="s">
        <v>2</v>
      </c>
      <c r="D10" s="6" t="str">
        <f t="shared" si="0"/>
        <v>CI</v>
      </c>
      <c r="E10" s="171">
        <f t="shared" si="1"/>
        <v>0</v>
      </c>
      <c r="F10" s="50">
        <f t="shared" si="3"/>
        <v>0</v>
      </c>
      <c r="G10" s="74" t="e">
        <f t="shared" si="2"/>
        <v>#DIV/0!</v>
      </c>
      <c r="J10" s="111"/>
    </row>
    <row r="11" spans="1:15" x14ac:dyDescent="0.2">
      <c r="A11" s="28" t="s">
        <v>3</v>
      </c>
      <c r="B11" s="203"/>
      <c r="D11" s="6" t="str">
        <f t="shared" si="0"/>
        <v>Valor Agregado Bruto</v>
      </c>
      <c r="E11" s="171">
        <f t="shared" si="1"/>
        <v>0</v>
      </c>
      <c r="F11" s="50">
        <f t="shared" si="3"/>
        <v>0</v>
      </c>
      <c r="G11" s="74" t="e">
        <f t="shared" si="2"/>
        <v>#DIV/0!</v>
      </c>
      <c r="J11" s="111"/>
    </row>
    <row r="12" spans="1:15" x14ac:dyDescent="0.2">
      <c r="A12" s="5" t="s">
        <v>187</v>
      </c>
      <c r="B12" s="191"/>
      <c r="D12" s="6" t="str">
        <f t="shared" si="0"/>
        <v>D total</v>
      </c>
      <c r="E12" s="171">
        <f t="shared" si="1"/>
        <v>0</v>
      </c>
      <c r="F12" s="50">
        <f t="shared" si="3"/>
        <v>0</v>
      </c>
      <c r="G12" s="74" t="e">
        <f t="shared" si="2"/>
        <v>#DIV/0!</v>
      </c>
      <c r="J12" s="111"/>
    </row>
    <row r="13" spans="1:15" x14ac:dyDescent="0.2">
      <c r="A13" s="28" t="s">
        <v>4</v>
      </c>
      <c r="B13" s="203"/>
      <c r="C13" s="23"/>
      <c r="D13" s="6" t="str">
        <f t="shared" si="0"/>
        <v>VA</v>
      </c>
      <c r="E13" s="171">
        <f t="shared" si="1"/>
        <v>0</v>
      </c>
      <c r="F13" s="50">
        <f t="shared" si="3"/>
        <v>0</v>
      </c>
      <c r="G13" s="74" t="e">
        <f t="shared" si="2"/>
        <v>#DIV/0!</v>
      </c>
      <c r="J13" s="111"/>
    </row>
    <row r="14" spans="1:15" x14ac:dyDescent="0.2">
      <c r="A14" s="28" t="s">
        <v>5</v>
      </c>
      <c r="B14" s="203"/>
      <c r="C14" s="23"/>
      <c r="D14" s="6" t="str">
        <f t="shared" si="0"/>
        <v>DVA</v>
      </c>
      <c r="E14" s="171">
        <f t="shared" si="1"/>
        <v>0</v>
      </c>
      <c r="F14" s="50">
        <f t="shared" si="3"/>
        <v>0</v>
      </c>
      <c r="G14" s="74" t="e">
        <f t="shared" si="2"/>
        <v>#DIV/0!</v>
      </c>
      <c r="J14" s="111"/>
    </row>
    <row r="15" spans="1:15" x14ac:dyDescent="0.2">
      <c r="A15" s="5" t="s">
        <v>6</v>
      </c>
      <c r="B15" s="191"/>
      <c r="C15" s="23"/>
      <c r="D15" s="6" t="str">
        <f t="shared" si="0"/>
        <v>RA</v>
      </c>
      <c r="E15" s="171">
        <f t="shared" si="1"/>
        <v>0</v>
      </c>
      <c r="F15" s="50">
        <f t="shared" si="3"/>
        <v>0</v>
      </c>
      <c r="G15" s="74" t="e">
        <f t="shared" si="2"/>
        <v>#DIV/0!</v>
      </c>
      <c r="J15" s="111"/>
    </row>
    <row r="16" spans="1:15" x14ac:dyDescent="0.2">
      <c r="D16" s="6" t="s">
        <v>110</v>
      </c>
      <c r="E16" s="171">
        <f t="shared" si="1"/>
        <v>0</v>
      </c>
      <c r="F16" s="50">
        <f t="shared" si="3"/>
        <v>0</v>
      </c>
      <c r="G16" s="36">
        <f t="shared" si="2"/>
        <v>0</v>
      </c>
      <c r="J16" s="111"/>
    </row>
    <row r="17" spans="1:10" ht="13.5" thickBot="1" x14ac:dyDescent="0.25">
      <c r="A17" s="37" t="s">
        <v>7</v>
      </c>
      <c r="D17" s="116" t="s">
        <v>115</v>
      </c>
      <c r="E17" s="178">
        <f>B157</f>
        <v>0</v>
      </c>
      <c r="F17" s="155">
        <f t="shared" si="3"/>
        <v>0</v>
      </c>
      <c r="G17" s="40">
        <f t="shared" si="2"/>
        <v>0</v>
      </c>
      <c r="J17" s="111"/>
    </row>
    <row r="18" spans="1:10" x14ac:dyDescent="0.2">
      <c r="B18" s="49">
        <f>A20/20*12</f>
        <v>0</v>
      </c>
      <c r="C18" s="41" t="s">
        <v>168</v>
      </c>
    </row>
    <row r="19" spans="1:10" x14ac:dyDescent="0.2">
      <c r="A19" s="5" t="s">
        <v>116</v>
      </c>
      <c r="B19" s="18" t="s">
        <v>166</v>
      </c>
      <c r="C19" s="18" t="s">
        <v>8</v>
      </c>
      <c r="D19" s="18" t="s">
        <v>9</v>
      </c>
      <c r="E19" s="170" t="s">
        <v>10</v>
      </c>
      <c r="F19" s="51" t="s">
        <v>2</v>
      </c>
    </row>
    <row r="20" spans="1:10" x14ac:dyDescent="0.2">
      <c r="A20" s="124">
        <f>Rebanho!B12</f>
        <v>0</v>
      </c>
      <c r="B20" s="125">
        <f>Rebanho!B21</f>
        <v>0</v>
      </c>
      <c r="C20" s="150"/>
      <c r="D20" s="57">
        <f>C20*365</f>
        <v>0</v>
      </c>
      <c r="E20" s="166">
        <v>0.4</v>
      </c>
      <c r="F20" s="164"/>
    </row>
    <row r="21" spans="1:10" x14ac:dyDescent="0.2">
      <c r="A21" s="112"/>
      <c r="B21" s="114"/>
      <c r="C21" s="114"/>
      <c r="D21" s="114"/>
      <c r="E21" s="167"/>
      <c r="F21" s="156"/>
      <c r="I21" s="111"/>
    </row>
    <row r="22" spans="1:10" x14ac:dyDescent="0.2">
      <c r="B22" s="115" t="s">
        <v>230</v>
      </c>
      <c r="C22" s="115" t="s">
        <v>232</v>
      </c>
      <c r="D22" s="115" t="s">
        <v>233</v>
      </c>
      <c r="E22" s="168" t="s">
        <v>231</v>
      </c>
      <c r="F22" s="157" t="s">
        <v>2</v>
      </c>
    </row>
    <row r="23" spans="1:10" x14ac:dyDescent="0.2">
      <c r="A23" s="113" t="s">
        <v>229</v>
      </c>
      <c r="B23" s="107">
        <f>Rebanho!B17</f>
        <v>0</v>
      </c>
      <c r="C23" s="35">
        <f>350</f>
        <v>350</v>
      </c>
      <c r="D23" s="24"/>
      <c r="E23" s="169">
        <f>2</f>
        <v>2</v>
      </c>
      <c r="F23" s="165"/>
    </row>
    <row r="24" spans="1:10" x14ac:dyDescent="0.2">
      <c r="A24" s="112"/>
      <c r="B24" s="91"/>
      <c r="C24" s="91"/>
      <c r="D24" s="91"/>
      <c r="E24" s="179"/>
      <c r="F24" s="158"/>
    </row>
    <row r="25" spans="1:10" x14ac:dyDescent="0.2">
      <c r="A25" s="37" t="s">
        <v>11</v>
      </c>
    </row>
    <row r="26" spans="1:10" x14ac:dyDescent="0.2">
      <c r="B26" s="49">
        <f>B6-B18-B36</f>
        <v>17</v>
      </c>
      <c r="C26" s="42" t="s">
        <v>168</v>
      </c>
    </row>
    <row r="27" spans="1:10" x14ac:dyDescent="0.2">
      <c r="A27" s="18" t="s">
        <v>12</v>
      </c>
      <c r="B27" s="18" t="s">
        <v>13</v>
      </c>
      <c r="C27" s="18" t="s">
        <v>14</v>
      </c>
      <c r="D27" s="18" t="s">
        <v>15</v>
      </c>
      <c r="E27" s="170" t="s">
        <v>2</v>
      </c>
    </row>
    <row r="28" spans="1:10" x14ac:dyDescent="0.2">
      <c r="A28" s="13">
        <f>B26</f>
        <v>17</v>
      </c>
      <c r="B28" s="48">
        <v>40</v>
      </c>
      <c r="C28" s="24"/>
      <c r="D28" s="132">
        <v>26.5</v>
      </c>
      <c r="E28" s="187"/>
    </row>
    <row r="29" spans="1:10" x14ac:dyDescent="0.2">
      <c r="A29" s="90"/>
      <c r="B29" s="96"/>
      <c r="C29" s="91"/>
      <c r="D29" s="92"/>
      <c r="E29" s="181"/>
    </row>
    <row r="30" spans="1:10" x14ac:dyDescent="0.2">
      <c r="A30" s="37" t="s">
        <v>186</v>
      </c>
      <c r="B30" s="96"/>
      <c r="C30" s="91"/>
      <c r="D30" s="92"/>
      <c r="E30" s="181"/>
    </row>
    <row r="31" spans="1:10" x14ac:dyDescent="0.2">
      <c r="B31" s="127">
        <f>B26</f>
        <v>17</v>
      </c>
      <c r="C31" s="42" t="s">
        <v>168</v>
      </c>
    </row>
    <row r="32" spans="1:10" x14ac:dyDescent="0.2">
      <c r="A32" s="18" t="s">
        <v>12</v>
      </c>
      <c r="B32" s="18" t="s">
        <v>13</v>
      </c>
      <c r="C32" s="18" t="s">
        <v>14</v>
      </c>
      <c r="D32" s="18" t="s">
        <v>15</v>
      </c>
      <c r="E32" s="170" t="s">
        <v>2</v>
      </c>
    </row>
    <row r="33" spans="1:7" x14ac:dyDescent="0.2">
      <c r="A33" s="13">
        <v>5</v>
      </c>
      <c r="B33" s="48">
        <v>35</v>
      </c>
      <c r="C33" s="35">
        <f>B33*A33</f>
        <v>175</v>
      </c>
      <c r="D33" s="131">
        <v>20</v>
      </c>
      <c r="E33" s="187"/>
    </row>
    <row r="34" spans="1:7" x14ac:dyDescent="0.2">
      <c r="A34" s="37"/>
    </row>
    <row r="35" spans="1:7" x14ac:dyDescent="0.2">
      <c r="A35" s="37" t="s">
        <v>16</v>
      </c>
    </row>
    <row r="36" spans="1:7" x14ac:dyDescent="0.2">
      <c r="B36" s="126">
        <v>0.5</v>
      </c>
      <c r="C36" s="41" t="s">
        <v>168</v>
      </c>
    </row>
    <row r="37" spans="1:7" x14ac:dyDescent="0.2">
      <c r="A37" s="5" t="s">
        <v>17</v>
      </c>
      <c r="B37" s="5" t="s">
        <v>18</v>
      </c>
      <c r="C37" s="5" t="s">
        <v>19</v>
      </c>
      <c r="D37" s="43" t="s">
        <v>20</v>
      </c>
      <c r="E37" s="170" t="s">
        <v>21</v>
      </c>
      <c r="G37" s="4"/>
    </row>
    <row r="38" spans="1:7" x14ac:dyDescent="0.2">
      <c r="A38" s="5" t="s">
        <v>4</v>
      </c>
      <c r="B38" s="35">
        <f>550*2</f>
        <v>1100</v>
      </c>
      <c r="C38" s="48" t="s">
        <v>219</v>
      </c>
      <c r="D38" s="44">
        <v>0.5</v>
      </c>
      <c r="E38" s="186"/>
    </row>
    <row r="39" spans="1:7" x14ac:dyDescent="0.2">
      <c r="A39" s="5" t="s">
        <v>22</v>
      </c>
      <c r="B39" s="35">
        <f>90*2</f>
        <v>180</v>
      </c>
      <c r="C39" s="48" t="s">
        <v>218</v>
      </c>
      <c r="D39" s="44">
        <v>4</v>
      </c>
      <c r="E39" s="186"/>
    </row>
    <row r="40" spans="1:7" x14ac:dyDescent="0.2">
      <c r="A40" s="5" t="s">
        <v>23</v>
      </c>
      <c r="B40" s="48">
        <f>60*2</f>
        <v>120</v>
      </c>
      <c r="C40" s="48" t="s">
        <v>218</v>
      </c>
      <c r="D40" s="44">
        <v>2.8</v>
      </c>
      <c r="E40" s="186"/>
    </row>
    <row r="41" spans="1:7" x14ac:dyDescent="0.2">
      <c r="A41" s="5" t="s">
        <v>24</v>
      </c>
      <c r="B41" s="35">
        <f>70*2</f>
        <v>140</v>
      </c>
      <c r="C41" s="48" t="s">
        <v>218</v>
      </c>
      <c r="D41" s="44">
        <v>3</v>
      </c>
      <c r="E41" s="186"/>
    </row>
    <row r="42" spans="1:7" x14ac:dyDescent="0.2">
      <c r="A42" s="5" t="s">
        <v>25</v>
      </c>
      <c r="B42" s="35">
        <f>60*2</f>
        <v>120</v>
      </c>
      <c r="C42" s="48" t="s">
        <v>220</v>
      </c>
      <c r="D42" s="44">
        <v>1.5</v>
      </c>
      <c r="E42" s="186"/>
    </row>
    <row r="43" spans="1:7" x14ac:dyDescent="0.2">
      <c r="A43" s="5" t="s">
        <v>26</v>
      </c>
      <c r="B43" s="35">
        <f>85*2</f>
        <v>170</v>
      </c>
      <c r="C43" s="48" t="s">
        <v>218</v>
      </c>
      <c r="D43" s="44">
        <v>0.5</v>
      </c>
      <c r="E43" s="186"/>
    </row>
    <row r="44" spans="1:7" x14ac:dyDescent="0.2">
      <c r="A44" s="5" t="s">
        <v>27</v>
      </c>
      <c r="B44" s="35">
        <f>80*2</f>
        <v>160</v>
      </c>
      <c r="C44" s="48" t="s">
        <v>218</v>
      </c>
      <c r="D44" s="44">
        <v>1</v>
      </c>
      <c r="E44" s="186"/>
    </row>
    <row r="45" spans="1:7" x14ac:dyDescent="0.2">
      <c r="A45" s="5" t="s">
        <v>28</v>
      </c>
      <c r="B45" s="41"/>
      <c r="C45" s="41"/>
      <c r="D45" s="44"/>
      <c r="E45" s="187"/>
      <c r="F45" s="79">
        <v>1225.5</v>
      </c>
    </row>
    <row r="47" spans="1:7" x14ac:dyDescent="0.2">
      <c r="A47" s="37" t="s">
        <v>29</v>
      </c>
      <c r="B47" s="37"/>
      <c r="C47" s="37"/>
      <c r="D47" s="37"/>
    </row>
    <row r="48" spans="1:7" x14ac:dyDescent="0.2">
      <c r="A48" s="37" t="s">
        <v>30</v>
      </c>
      <c r="B48" s="37"/>
      <c r="C48" s="37"/>
      <c r="D48" s="37"/>
    </row>
    <row r="49" spans="1:5" x14ac:dyDescent="0.2">
      <c r="A49" s="5" t="s">
        <v>1</v>
      </c>
      <c r="B49" s="18" t="s">
        <v>3</v>
      </c>
      <c r="C49" s="18" t="s">
        <v>12</v>
      </c>
      <c r="D49" s="127">
        <f>B26</f>
        <v>17</v>
      </c>
      <c r="E49" s="182" t="s">
        <v>168</v>
      </c>
    </row>
    <row r="50" spans="1:5" x14ac:dyDescent="0.2">
      <c r="A50" s="5" t="s">
        <v>17</v>
      </c>
      <c r="B50" s="18" t="s">
        <v>18</v>
      </c>
      <c r="C50" s="18" t="s">
        <v>19</v>
      </c>
      <c r="D50" s="18" t="s">
        <v>31</v>
      </c>
      <c r="E50" s="170" t="s">
        <v>21</v>
      </c>
    </row>
    <row r="51" spans="1:5" x14ac:dyDescent="0.2">
      <c r="A51" s="5" t="s">
        <v>32</v>
      </c>
      <c r="B51" s="35">
        <v>50</v>
      </c>
      <c r="C51" s="35" t="s">
        <v>33</v>
      </c>
      <c r="D51" s="44">
        <v>1</v>
      </c>
      <c r="E51" s="186"/>
    </row>
    <row r="52" spans="1:5" x14ac:dyDescent="0.2">
      <c r="A52" s="5" t="s">
        <v>34</v>
      </c>
      <c r="B52" s="35">
        <v>6</v>
      </c>
      <c r="C52" s="13" t="s">
        <v>35</v>
      </c>
      <c r="D52" s="44">
        <v>8.5</v>
      </c>
      <c r="E52" s="186"/>
    </row>
    <row r="53" spans="1:5" x14ac:dyDescent="0.2">
      <c r="A53" s="5" t="s">
        <v>36</v>
      </c>
      <c r="B53" s="35">
        <v>7.4999999999999997E-2</v>
      </c>
      <c r="C53" s="13" t="s">
        <v>35</v>
      </c>
      <c r="D53" s="45">
        <v>47</v>
      </c>
      <c r="E53" s="186"/>
    </row>
    <row r="54" spans="1:5" x14ac:dyDescent="0.2">
      <c r="A54" s="5" t="s">
        <v>37</v>
      </c>
      <c r="B54" s="35">
        <v>200</v>
      </c>
      <c r="C54" s="13" t="s">
        <v>33</v>
      </c>
      <c r="D54" s="45">
        <v>0.56000000000000005</v>
      </c>
      <c r="E54" s="186"/>
    </row>
    <row r="55" spans="1:5" x14ac:dyDescent="0.2">
      <c r="A55" s="5" t="s">
        <v>43</v>
      </c>
      <c r="B55" s="35">
        <v>20</v>
      </c>
      <c r="C55" s="35" t="s">
        <v>35</v>
      </c>
      <c r="D55" s="44">
        <v>2</v>
      </c>
      <c r="E55" s="186"/>
    </row>
    <row r="56" spans="1:5" x14ac:dyDescent="0.2">
      <c r="A56" s="5" t="s">
        <v>38</v>
      </c>
      <c r="B56" s="35">
        <f>D49</f>
        <v>17</v>
      </c>
      <c r="C56" s="48" t="s">
        <v>33</v>
      </c>
      <c r="D56" s="44">
        <v>8</v>
      </c>
      <c r="E56" s="186"/>
    </row>
    <row r="57" spans="1:5" x14ac:dyDescent="0.2">
      <c r="A57" s="5" t="s">
        <v>41</v>
      </c>
      <c r="B57" s="35">
        <f>C28</f>
        <v>0</v>
      </c>
      <c r="C57" s="35" t="s">
        <v>42</v>
      </c>
      <c r="D57" s="46">
        <v>0.6</v>
      </c>
      <c r="E57" s="186"/>
    </row>
    <row r="58" spans="1:5" x14ac:dyDescent="0.2">
      <c r="A58" s="5"/>
      <c r="B58" s="56"/>
      <c r="C58" s="35"/>
      <c r="D58" s="46"/>
      <c r="E58" s="169"/>
    </row>
    <row r="59" spans="1:5" x14ac:dyDescent="0.2">
      <c r="A59" s="5" t="s">
        <v>40</v>
      </c>
      <c r="B59" s="35"/>
      <c r="C59" s="35"/>
      <c r="D59" s="46"/>
      <c r="E59" s="188"/>
    </row>
    <row r="61" spans="1:5" x14ac:dyDescent="0.2">
      <c r="A61" s="37" t="s">
        <v>197</v>
      </c>
      <c r="B61" s="37"/>
      <c r="C61" s="37"/>
      <c r="D61" s="37"/>
    </row>
    <row r="62" spans="1:5" x14ac:dyDescent="0.2">
      <c r="A62" s="5" t="s">
        <v>1</v>
      </c>
      <c r="B62" s="18" t="s">
        <v>187</v>
      </c>
      <c r="C62" s="18" t="s">
        <v>12</v>
      </c>
      <c r="D62" s="128">
        <f>B31</f>
        <v>17</v>
      </c>
      <c r="E62" s="170"/>
    </row>
    <row r="63" spans="1:5" x14ac:dyDescent="0.2">
      <c r="A63" s="5" t="s">
        <v>17</v>
      </c>
      <c r="B63" s="18" t="s">
        <v>216</v>
      </c>
      <c r="C63" s="18" t="s">
        <v>19</v>
      </c>
      <c r="D63" s="5" t="s">
        <v>31</v>
      </c>
      <c r="E63" s="170" t="s">
        <v>21</v>
      </c>
    </row>
    <row r="64" spans="1:5" x14ac:dyDescent="0.2">
      <c r="A64" s="5" t="s">
        <v>32</v>
      </c>
      <c r="B64" s="35">
        <v>100</v>
      </c>
      <c r="C64" s="35" t="s">
        <v>33</v>
      </c>
      <c r="D64" s="44">
        <v>0.7</v>
      </c>
      <c r="E64" s="186"/>
    </row>
    <row r="65" spans="1:5" x14ac:dyDescent="0.2">
      <c r="A65" s="5" t="s">
        <v>48</v>
      </c>
      <c r="B65" s="35">
        <v>4</v>
      </c>
      <c r="C65" s="13" t="s">
        <v>35</v>
      </c>
      <c r="D65" s="44">
        <v>5</v>
      </c>
      <c r="E65" s="186"/>
    </row>
    <row r="66" spans="1:5" x14ac:dyDescent="0.2">
      <c r="A66" s="5" t="s">
        <v>36</v>
      </c>
      <c r="B66" s="35">
        <v>7.4999999999999997E-2</v>
      </c>
      <c r="C66" s="13" t="s">
        <v>35</v>
      </c>
      <c r="D66" s="45">
        <v>47</v>
      </c>
      <c r="E66" s="186"/>
    </row>
    <row r="67" spans="1:5" x14ac:dyDescent="0.2">
      <c r="A67" s="5" t="s">
        <v>37</v>
      </c>
      <c r="B67" s="35">
        <v>200</v>
      </c>
      <c r="C67" s="13" t="s">
        <v>33</v>
      </c>
      <c r="D67" s="45">
        <v>0.56000000000000005</v>
      </c>
      <c r="E67" s="186"/>
    </row>
    <row r="68" spans="1:5" x14ac:dyDescent="0.2">
      <c r="A68" s="5" t="s">
        <v>43</v>
      </c>
      <c r="B68" s="35">
        <v>20</v>
      </c>
      <c r="C68" s="35" t="s">
        <v>35</v>
      </c>
      <c r="D68" s="44">
        <v>2</v>
      </c>
      <c r="E68" s="186"/>
    </row>
    <row r="69" spans="1:5" x14ac:dyDescent="0.2">
      <c r="A69" s="5" t="s">
        <v>38</v>
      </c>
      <c r="B69" s="35">
        <v>1</v>
      </c>
      <c r="C69" s="48" t="s">
        <v>218</v>
      </c>
      <c r="D69" s="44">
        <v>4</v>
      </c>
      <c r="E69" s="186"/>
    </row>
    <row r="70" spans="1:5" x14ac:dyDescent="0.2">
      <c r="A70" s="5" t="s">
        <v>191</v>
      </c>
      <c r="B70" s="41"/>
      <c r="C70" s="41"/>
      <c r="D70" s="46"/>
      <c r="E70" s="188"/>
    </row>
    <row r="72" spans="1:5" x14ac:dyDescent="0.2">
      <c r="A72" s="37" t="s">
        <v>165</v>
      </c>
      <c r="B72" s="37"/>
      <c r="C72" s="37"/>
      <c r="D72" s="37"/>
    </row>
    <row r="73" spans="1:5" x14ac:dyDescent="0.2">
      <c r="A73" s="47" t="s">
        <v>1</v>
      </c>
      <c r="B73" s="18" t="s">
        <v>44</v>
      </c>
      <c r="C73" s="18" t="s">
        <v>45</v>
      </c>
      <c r="D73" s="128">
        <f>B18-D87</f>
        <v>0</v>
      </c>
      <c r="E73" s="170" t="s">
        <v>247</v>
      </c>
    </row>
    <row r="74" spans="1:5" x14ac:dyDescent="0.2">
      <c r="A74" s="47" t="s">
        <v>17</v>
      </c>
      <c r="B74" s="18" t="s">
        <v>216</v>
      </c>
      <c r="C74" s="18" t="s">
        <v>19</v>
      </c>
      <c r="D74" s="18" t="s">
        <v>31</v>
      </c>
      <c r="E74" s="170" t="s">
        <v>21</v>
      </c>
    </row>
    <row r="75" spans="1:5" x14ac:dyDescent="0.2">
      <c r="A75" s="47" t="s">
        <v>32</v>
      </c>
      <c r="B75" s="35">
        <v>1</v>
      </c>
      <c r="C75" s="48" t="s">
        <v>217</v>
      </c>
      <c r="D75" s="44">
        <v>55</v>
      </c>
      <c r="E75" s="186"/>
    </row>
    <row r="76" spans="1:5" x14ac:dyDescent="0.2">
      <c r="A76" s="47" t="s">
        <v>48</v>
      </c>
      <c r="B76" s="35">
        <v>1</v>
      </c>
      <c r="C76" s="48" t="s">
        <v>35</v>
      </c>
      <c r="D76" s="44">
        <v>38</v>
      </c>
      <c r="E76" s="186"/>
    </row>
    <row r="77" spans="1:5" x14ac:dyDescent="0.2">
      <c r="A77" s="47" t="s">
        <v>34</v>
      </c>
      <c r="B77" s="35">
        <v>2</v>
      </c>
      <c r="C77" s="48" t="s">
        <v>35</v>
      </c>
      <c r="D77" s="44">
        <v>8.5</v>
      </c>
      <c r="E77" s="186"/>
    </row>
    <row r="78" spans="1:5" x14ac:dyDescent="0.2">
      <c r="A78" s="47" t="s">
        <v>36</v>
      </c>
      <c r="B78" s="35">
        <v>0.8</v>
      </c>
      <c r="C78" s="13" t="s">
        <v>35</v>
      </c>
      <c r="D78" s="45">
        <v>15.58</v>
      </c>
      <c r="E78" s="186"/>
    </row>
    <row r="79" spans="1:5" x14ac:dyDescent="0.2">
      <c r="A79" s="47" t="s">
        <v>37</v>
      </c>
      <c r="B79" s="35">
        <v>250</v>
      </c>
      <c r="C79" s="13" t="s">
        <v>33</v>
      </c>
      <c r="D79" s="45">
        <v>0.61</v>
      </c>
      <c r="E79" s="186"/>
    </row>
    <row r="80" spans="1:5" x14ac:dyDescent="0.2">
      <c r="A80" s="47" t="s">
        <v>39</v>
      </c>
      <c r="B80" s="35">
        <v>1</v>
      </c>
      <c r="C80" s="48" t="s">
        <v>35</v>
      </c>
      <c r="D80" s="46">
        <v>7.5</v>
      </c>
      <c r="E80" s="186"/>
    </row>
    <row r="81" spans="1:5" x14ac:dyDescent="0.2">
      <c r="A81" s="47" t="s">
        <v>43</v>
      </c>
      <c r="B81" s="35">
        <f>50/12</f>
        <v>4.166666666666667</v>
      </c>
      <c r="C81" s="48" t="s">
        <v>35</v>
      </c>
      <c r="D81" s="46">
        <v>2</v>
      </c>
      <c r="E81" s="186"/>
    </row>
    <row r="82" spans="1:5" x14ac:dyDescent="0.2">
      <c r="A82" s="47" t="s">
        <v>46</v>
      </c>
      <c r="B82" s="35">
        <v>2</v>
      </c>
      <c r="C82" s="35" t="s">
        <v>47</v>
      </c>
      <c r="D82" s="44">
        <v>35</v>
      </c>
      <c r="E82" s="186"/>
    </row>
    <row r="83" spans="1:5" x14ac:dyDescent="0.2">
      <c r="A83" s="47" t="s">
        <v>221</v>
      </c>
      <c r="B83" s="49">
        <v>100</v>
      </c>
      <c r="C83" s="48" t="s">
        <v>33</v>
      </c>
      <c r="D83" s="50">
        <v>0.55000000000000004</v>
      </c>
      <c r="E83" s="186"/>
    </row>
    <row r="84" spans="1:5" x14ac:dyDescent="0.2">
      <c r="A84" s="47" t="s">
        <v>128</v>
      </c>
      <c r="B84" s="35"/>
      <c r="C84" s="35"/>
      <c r="D84" s="46"/>
      <c r="E84" s="188"/>
    </row>
    <row r="85" spans="1:5" x14ac:dyDescent="0.2">
      <c r="D85" s="52"/>
    </row>
    <row r="86" spans="1:5" x14ac:dyDescent="0.2">
      <c r="A86" s="4" t="s">
        <v>49</v>
      </c>
      <c r="D86" s="52"/>
    </row>
    <row r="87" spans="1:5" x14ac:dyDescent="0.2">
      <c r="A87" s="5" t="s">
        <v>1</v>
      </c>
      <c r="B87" s="5" t="s">
        <v>50</v>
      </c>
      <c r="C87" s="5" t="s">
        <v>51</v>
      </c>
      <c r="D87" s="128">
        <f>B18/2</f>
        <v>0</v>
      </c>
      <c r="E87" s="170"/>
    </row>
    <row r="88" spans="1:5" x14ac:dyDescent="0.2">
      <c r="A88" s="5" t="s">
        <v>17</v>
      </c>
      <c r="B88" s="5" t="s">
        <v>18</v>
      </c>
      <c r="C88" s="5" t="s">
        <v>19</v>
      </c>
      <c r="D88" s="53" t="s">
        <v>52</v>
      </c>
      <c r="E88" s="170" t="s">
        <v>21</v>
      </c>
    </row>
    <row r="89" spans="1:5" x14ac:dyDescent="0.2">
      <c r="A89" s="5" t="s">
        <v>53</v>
      </c>
      <c r="B89" s="35">
        <v>3</v>
      </c>
      <c r="C89" s="35" t="s">
        <v>228</v>
      </c>
      <c r="D89" s="44">
        <v>45</v>
      </c>
      <c r="E89" s="186"/>
    </row>
    <row r="90" spans="1:5" x14ac:dyDescent="0.2">
      <c r="D90" s="54"/>
    </row>
    <row r="91" spans="1:5" x14ac:dyDescent="0.2">
      <c r="A91" s="4" t="s">
        <v>54</v>
      </c>
      <c r="D91" s="54"/>
    </row>
    <row r="92" spans="1:5" x14ac:dyDescent="0.2">
      <c r="A92" s="5" t="s">
        <v>1</v>
      </c>
      <c r="B92" s="5" t="s">
        <v>56</v>
      </c>
      <c r="C92" s="5" t="s">
        <v>57</v>
      </c>
      <c r="D92" s="128">
        <f>D73</f>
        <v>0</v>
      </c>
      <c r="E92" s="171"/>
    </row>
    <row r="93" spans="1:5" x14ac:dyDescent="0.2">
      <c r="A93" s="5" t="s">
        <v>17</v>
      </c>
      <c r="B93" s="18" t="s">
        <v>216</v>
      </c>
      <c r="C93" s="18" t="s">
        <v>19</v>
      </c>
      <c r="D93" s="53" t="s">
        <v>52</v>
      </c>
      <c r="E93" s="170" t="s">
        <v>21</v>
      </c>
    </row>
    <row r="94" spans="1:5" x14ac:dyDescent="0.2">
      <c r="A94" s="5" t="s">
        <v>32</v>
      </c>
      <c r="B94" s="35">
        <v>80</v>
      </c>
      <c r="C94" s="35" t="s">
        <v>55</v>
      </c>
      <c r="D94" s="46">
        <v>0.6</v>
      </c>
      <c r="E94" s="189"/>
    </row>
    <row r="95" spans="1:5" x14ac:dyDescent="0.2">
      <c r="A95" s="5" t="s">
        <v>37</v>
      </c>
      <c r="B95" s="35">
        <v>100</v>
      </c>
      <c r="C95" s="35" t="s">
        <v>55</v>
      </c>
      <c r="D95" s="46">
        <v>0.61</v>
      </c>
      <c r="E95" s="189"/>
    </row>
    <row r="96" spans="1:5" x14ac:dyDescent="0.2">
      <c r="A96" s="5" t="s">
        <v>46</v>
      </c>
      <c r="B96" s="35">
        <v>1</v>
      </c>
      <c r="C96" s="35" t="s">
        <v>58</v>
      </c>
      <c r="D96" s="46">
        <v>35</v>
      </c>
      <c r="E96" s="189"/>
    </row>
    <row r="97" spans="1:8" x14ac:dyDescent="0.2">
      <c r="A97" s="5" t="s">
        <v>59</v>
      </c>
      <c r="B97" s="41"/>
      <c r="C97" s="41"/>
      <c r="D97" s="46"/>
      <c r="E97" s="189"/>
    </row>
    <row r="99" spans="1:8" x14ac:dyDescent="0.2">
      <c r="A99" s="37" t="s">
        <v>239</v>
      </c>
      <c r="B99" s="37"/>
      <c r="C99" s="37"/>
      <c r="D99" s="37"/>
    </row>
    <row r="100" spans="1:8" x14ac:dyDescent="0.2">
      <c r="A100" s="37" t="s">
        <v>1</v>
      </c>
      <c r="B100" s="37" t="s">
        <v>60</v>
      </c>
      <c r="C100" s="37"/>
      <c r="D100" s="37"/>
      <c r="E100" s="183"/>
    </row>
    <row r="101" spans="1:8" x14ac:dyDescent="0.2">
      <c r="A101" s="5" t="s">
        <v>17</v>
      </c>
      <c r="B101" s="18" t="s">
        <v>18</v>
      </c>
      <c r="C101" s="18" t="s">
        <v>19</v>
      </c>
      <c r="D101" s="18" t="s">
        <v>31</v>
      </c>
      <c r="E101" s="170" t="s">
        <v>21</v>
      </c>
    </row>
    <row r="102" spans="1:8" x14ac:dyDescent="0.2">
      <c r="A102" s="5" t="s">
        <v>61</v>
      </c>
      <c r="B102" s="107">
        <v>50</v>
      </c>
      <c r="C102" s="48" t="s">
        <v>169</v>
      </c>
      <c r="D102" s="55">
        <v>8</v>
      </c>
      <c r="E102" s="186"/>
    </row>
    <row r="103" spans="1:8" x14ac:dyDescent="0.2">
      <c r="A103" s="5" t="s">
        <v>62</v>
      </c>
      <c r="B103" s="35">
        <v>10</v>
      </c>
      <c r="C103" s="35" t="s">
        <v>63</v>
      </c>
      <c r="D103" s="55">
        <v>25</v>
      </c>
      <c r="E103" s="186"/>
    </row>
    <row r="104" spans="1:8" ht="14.25" x14ac:dyDescent="0.2">
      <c r="A104" s="5" t="s">
        <v>64</v>
      </c>
      <c r="B104" s="35">
        <v>36</v>
      </c>
      <c r="C104" s="48" t="s">
        <v>170</v>
      </c>
      <c r="D104" s="55">
        <v>10</v>
      </c>
      <c r="E104" s="186"/>
    </row>
    <row r="105" spans="1:8" x14ac:dyDescent="0.2">
      <c r="A105" s="5" t="s">
        <v>65</v>
      </c>
      <c r="B105" s="35"/>
      <c r="C105" s="35"/>
      <c r="D105" s="55"/>
      <c r="E105" s="186"/>
    </row>
    <row r="106" spans="1:8" x14ac:dyDescent="0.2">
      <c r="A106" s="5" t="s">
        <v>66</v>
      </c>
      <c r="B106" s="35"/>
      <c r="C106" s="35"/>
      <c r="D106" s="55"/>
      <c r="E106" s="169">
        <v>80</v>
      </c>
      <c r="G106" s="111"/>
    </row>
    <row r="107" spans="1:8" x14ac:dyDescent="0.2">
      <c r="A107" s="5" t="s">
        <v>67</v>
      </c>
      <c r="B107" s="50">
        <v>11461.821562500007</v>
      </c>
      <c r="C107" s="35" t="s">
        <v>71</v>
      </c>
      <c r="D107" s="55">
        <v>0.6</v>
      </c>
      <c r="E107" s="186"/>
      <c r="G107" s="111">
        <f>11983.62</f>
        <v>11983.62</v>
      </c>
    </row>
    <row r="108" spans="1:8" x14ac:dyDescent="0.2">
      <c r="A108" s="5" t="s">
        <v>68</v>
      </c>
      <c r="B108" s="35">
        <v>15</v>
      </c>
      <c r="C108" s="35" t="s">
        <v>69</v>
      </c>
      <c r="D108" s="55">
        <v>32</v>
      </c>
      <c r="E108" s="186"/>
      <c r="G108" s="111">
        <f>E17</f>
        <v>0</v>
      </c>
    </row>
    <row r="109" spans="1:8" x14ac:dyDescent="0.2">
      <c r="A109" s="5" t="s">
        <v>156</v>
      </c>
      <c r="B109" s="35">
        <v>8</v>
      </c>
      <c r="C109" s="35" t="s">
        <v>72</v>
      </c>
      <c r="D109" s="55">
        <v>55</v>
      </c>
      <c r="E109" s="186"/>
      <c r="G109" s="111">
        <f>G107-G108</f>
        <v>11983.62</v>
      </c>
    </row>
    <row r="110" spans="1:8" x14ac:dyDescent="0.2">
      <c r="A110" s="5" t="s">
        <v>73</v>
      </c>
      <c r="B110" s="35"/>
      <c r="C110" s="35"/>
      <c r="D110" s="55"/>
      <c r="E110" s="169">
        <v>100</v>
      </c>
      <c r="H110" s="111"/>
    </row>
    <row r="111" spans="1:8" x14ac:dyDescent="0.2">
      <c r="A111" s="5" t="s">
        <v>70</v>
      </c>
      <c r="B111" s="35"/>
      <c r="C111" s="35"/>
      <c r="D111" s="55"/>
      <c r="E111" s="180">
        <f>SUM(E102:E110)</f>
        <v>180</v>
      </c>
    </row>
    <row r="113" spans="1:8" x14ac:dyDescent="0.2">
      <c r="A113" s="37" t="s">
        <v>78</v>
      </c>
      <c r="B113" s="37"/>
      <c r="C113" s="37"/>
      <c r="D113" s="37"/>
    </row>
    <row r="114" spans="1:8" x14ac:dyDescent="0.2">
      <c r="A114" s="5" t="s">
        <v>17</v>
      </c>
      <c r="B114" s="5" t="s">
        <v>18</v>
      </c>
      <c r="C114" s="5" t="s">
        <v>19</v>
      </c>
      <c r="D114" s="5" t="s">
        <v>31</v>
      </c>
      <c r="E114" s="170" t="s">
        <v>21</v>
      </c>
    </row>
    <row r="115" spans="1:8" x14ac:dyDescent="0.2">
      <c r="A115" s="5" t="s">
        <v>74</v>
      </c>
      <c r="B115" s="41">
        <v>18</v>
      </c>
      <c r="C115" s="41" t="s">
        <v>75</v>
      </c>
      <c r="D115" s="44">
        <v>8</v>
      </c>
      <c r="E115" s="186"/>
    </row>
    <row r="116" spans="1:8" x14ac:dyDescent="0.2">
      <c r="A116" s="5" t="s">
        <v>76</v>
      </c>
      <c r="B116" s="41"/>
      <c r="C116" s="41"/>
      <c r="D116" s="44"/>
      <c r="E116" s="169">
        <v>35</v>
      </c>
    </row>
    <row r="117" spans="1:8" x14ac:dyDescent="0.2">
      <c r="A117" s="5" t="s">
        <v>73</v>
      </c>
      <c r="B117" s="41"/>
      <c r="C117" s="41"/>
      <c r="D117" s="44"/>
      <c r="E117" s="169">
        <v>50</v>
      </c>
    </row>
    <row r="118" spans="1:8" x14ac:dyDescent="0.2">
      <c r="A118" s="5" t="s">
        <v>77</v>
      </c>
      <c r="B118" s="41"/>
      <c r="C118" s="41"/>
      <c r="D118" s="44"/>
      <c r="E118" s="180">
        <f>SUM(E115:E117)</f>
        <v>85</v>
      </c>
    </row>
    <row r="120" spans="1:8" x14ac:dyDescent="0.2">
      <c r="A120" s="37" t="s">
        <v>83</v>
      </c>
    </row>
    <row r="121" spans="1:8" x14ac:dyDescent="0.2">
      <c r="A121" s="37" t="s">
        <v>79</v>
      </c>
      <c r="F121" s="78"/>
      <c r="G121" s="19"/>
      <c r="H121" s="20"/>
    </row>
    <row r="122" spans="1:8" x14ac:dyDescent="0.2">
      <c r="A122" s="5" t="s">
        <v>17</v>
      </c>
      <c r="B122" s="18" t="s">
        <v>160</v>
      </c>
      <c r="C122" s="18" t="s">
        <v>161</v>
      </c>
      <c r="D122" s="18" t="s">
        <v>159</v>
      </c>
      <c r="E122" s="170" t="s">
        <v>21</v>
      </c>
      <c r="F122" s="78"/>
      <c r="G122" s="21"/>
      <c r="H122" s="22"/>
    </row>
    <row r="123" spans="1:8" x14ac:dyDescent="0.2">
      <c r="A123" s="5" t="s">
        <v>80</v>
      </c>
      <c r="B123" s="35">
        <v>5000</v>
      </c>
      <c r="C123" s="35">
        <v>20</v>
      </c>
      <c r="D123" s="56">
        <v>0.1</v>
      </c>
      <c r="E123" s="189"/>
      <c r="F123" s="78"/>
      <c r="G123" s="20"/>
      <c r="H123" s="4"/>
    </row>
    <row r="124" spans="1:8" x14ac:dyDescent="0.2">
      <c r="A124" s="5" t="s">
        <v>81</v>
      </c>
      <c r="B124" s="35">
        <v>3000</v>
      </c>
      <c r="C124" s="35">
        <v>20</v>
      </c>
      <c r="D124" s="56">
        <v>0.1</v>
      </c>
      <c r="E124" s="189"/>
      <c r="F124" s="78"/>
      <c r="G124" s="20"/>
      <c r="H124" s="4"/>
    </row>
    <row r="125" spans="1:8" x14ac:dyDescent="0.2">
      <c r="A125" s="5" t="s">
        <v>82</v>
      </c>
      <c r="B125" s="35"/>
      <c r="C125" s="35"/>
      <c r="D125" s="35"/>
      <c r="E125" s="189"/>
      <c r="F125" s="76"/>
      <c r="G125" s="23"/>
      <c r="H125" s="19"/>
    </row>
    <row r="127" spans="1:8" x14ac:dyDescent="0.2">
      <c r="A127" s="37" t="s">
        <v>84</v>
      </c>
    </row>
    <row r="128" spans="1:8" x14ac:dyDescent="0.2">
      <c r="A128" s="5" t="s">
        <v>17</v>
      </c>
      <c r="B128" s="18" t="s">
        <v>160</v>
      </c>
      <c r="C128" s="18" t="s">
        <v>161</v>
      </c>
      <c r="D128" s="18" t="s">
        <v>159</v>
      </c>
      <c r="E128" s="170" t="s">
        <v>21</v>
      </c>
    </row>
    <row r="129" spans="1:8" x14ac:dyDescent="0.2">
      <c r="A129" s="5" t="s">
        <v>213</v>
      </c>
      <c r="B129" s="48">
        <v>50000</v>
      </c>
      <c r="C129" s="48">
        <v>15</v>
      </c>
      <c r="D129" s="104">
        <v>0.2</v>
      </c>
      <c r="E129" s="190"/>
      <c r="F129" s="159" t="s">
        <v>185</v>
      </c>
      <c r="G129" s="89">
        <f>E129</f>
        <v>0</v>
      </c>
    </row>
    <row r="130" spans="1:8" x14ac:dyDescent="0.2">
      <c r="A130" s="5" t="s">
        <v>85</v>
      </c>
      <c r="B130" s="48">
        <v>10000</v>
      </c>
      <c r="C130" s="48">
        <v>20</v>
      </c>
      <c r="D130" s="104">
        <v>0.2</v>
      </c>
      <c r="E130" s="190"/>
      <c r="F130" s="208" t="s">
        <v>182</v>
      </c>
      <c r="G130" s="57"/>
    </row>
    <row r="131" spans="1:8" x14ac:dyDescent="0.2">
      <c r="A131" s="5" t="s">
        <v>214</v>
      </c>
      <c r="B131" s="48">
        <v>4000</v>
      </c>
      <c r="C131" s="48">
        <v>20</v>
      </c>
      <c r="D131" s="104">
        <v>0.2</v>
      </c>
      <c r="E131" s="190"/>
      <c r="F131" s="209"/>
      <c r="G131" s="88">
        <f>E130+E131+E132+E123</f>
        <v>0</v>
      </c>
    </row>
    <row r="132" spans="1:8" x14ac:dyDescent="0.2">
      <c r="A132" s="5" t="s">
        <v>86</v>
      </c>
      <c r="B132" s="48">
        <v>500</v>
      </c>
      <c r="C132" s="48">
        <v>20</v>
      </c>
      <c r="D132" s="104">
        <v>0.2</v>
      </c>
      <c r="E132" s="190"/>
      <c r="F132" s="210"/>
      <c r="G132" s="58"/>
    </row>
    <row r="133" spans="1:8" x14ac:dyDescent="0.2">
      <c r="A133" s="5" t="s">
        <v>215</v>
      </c>
      <c r="B133" s="48">
        <v>1400</v>
      </c>
      <c r="C133" s="48">
        <v>15</v>
      </c>
      <c r="D133" s="104">
        <v>0.2</v>
      </c>
      <c r="E133" s="190"/>
      <c r="F133" s="208" t="s">
        <v>181</v>
      </c>
      <c r="G133" s="57"/>
    </row>
    <row r="134" spans="1:8" x14ac:dyDescent="0.2">
      <c r="A134" s="5" t="s">
        <v>87</v>
      </c>
      <c r="B134" s="48">
        <v>3500</v>
      </c>
      <c r="C134" s="48">
        <v>15</v>
      </c>
      <c r="D134" s="104">
        <v>0.2</v>
      </c>
      <c r="E134" s="190"/>
      <c r="F134" s="209"/>
      <c r="G134" s="59">
        <f>E135</f>
        <v>0</v>
      </c>
    </row>
    <row r="135" spans="1:8" x14ac:dyDescent="0.2">
      <c r="A135" s="5" t="s">
        <v>88</v>
      </c>
      <c r="B135" s="48">
        <v>7000</v>
      </c>
      <c r="C135" s="48">
        <v>10</v>
      </c>
      <c r="D135" s="104">
        <v>0.1</v>
      </c>
      <c r="E135" s="190"/>
      <c r="F135" s="210"/>
      <c r="G135" s="60"/>
    </row>
    <row r="136" spans="1:8" x14ac:dyDescent="0.2">
      <c r="A136" s="5" t="s">
        <v>89</v>
      </c>
      <c r="B136" s="41"/>
      <c r="C136" s="41"/>
      <c r="D136" s="41"/>
      <c r="E136" s="189"/>
      <c r="G136" s="79">
        <f>G131+G134+B159</f>
        <v>0</v>
      </c>
    </row>
    <row r="137" spans="1:8" x14ac:dyDescent="0.2">
      <c r="G137" s="79"/>
      <c r="H137" s="79"/>
    </row>
    <row r="138" spans="1:8" x14ac:dyDescent="0.2">
      <c r="A138" s="5" t="s">
        <v>90</v>
      </c>
      <c r="B138" s="41"/>
      <c r="C138" s="41"/>
      <c r="D138" s="61">
        <f>E136+E125</f>
        <v>0</v>
      </c>
    </row>
    <row r="140" spans="1:8" ht="13.5" thickBot="1" x14ac:dyDescent="0.25">
      <c r="A140" s="37" t="s">
        <v>173</v>
      </c>
    </row>
    <row r="141" spans="1:8" x14ac:dyDescent="0.2">
      <c r="A141" s="5" t="s">
        <v>17</v>
      </c>
      <c r="B141" s="5"/>
      <c r="C141" s="5" t="s">
        <v>19</v>
      </c>
      <c r="D141" s="18" t="s">
        <v>18</v>
      </c>
      <c r="E141" s="170" t="s">
        <v>91</v>
      </c>
      <c r="F141" s="160" t="s">
        <v>92</v>
      </c>
      <c r="G141" s="119" t="s">
        <v>172</v>
      </c>
      <c r="H141" s="62">
        <f>B11*2.3%</f>
        <v>0</v>
      </c>
    </row>
    <row r="142" spans="1:8" x14ac:dyDescent="0.2">
      <c r="A142" s="5" t="s">
        <v>93</v>
      </c>
      <c r="B142" s="41"/>
      <c r="C142" s="63" t="s">
        <v>94</v>
      </c>
      <c r="D142" s="118">
        <v>2.3E-2</v>
      </c>
      <c r="E142" s="171">
        <f>B11+B12+B13</f>
        <v>0</v>
      </c>
      <c r="F142" s="161">
        <f>E142*D142</f>
        <v>0</v>
      </c>
      <c r="G142" s="64" t="s">
        <v>234</v>
      </c>
      <c r="H142" s="120">
        <f>B12*D142</f>
        <v>0</v>
      </c>
    </row>
    <row r="143" spans="1:8" x14ac:dyDescent="0.2">
      <c r="A143" s="5" t="s">
        <v>95</v>
      </c>
      <c r="B143" s="41"/>
      <c r="C143" s="41" t="s">
        <v>96</v>
      </c>
      <c r="D143" s="35"/>
      <c r="E143" s="171"/>
      <c r="F143" s="161">
        <v>50</v>
      </c>
      <c r="G143" s="64" t="s">
        <v>171</v>
      </c>
      <c r="H143" s="65">
        <f>B13*2.3%</f>
        <v>0</v>
      </c>
    </row>
    <row r="144" spans="1:8" ht="13.5" thickBot="1" x14ac:dyDescent="0.25">
      <c r="A144" s="5" t="s">
        <v>97</v>
      </c>
      <c r="B144" s="41"/>
      <c r="C144" s="41"/>
      <c r="D144" s="35"/>
      <c r="E144" s="171"/>
      <c r="F144" s="162">
        <f>F143+F142</f>
        <v>50</v>
      </c>
      <c r="G144" s="66" t="s">
        <v>108</v>
      </c>
      <c r="H144" s="138">
        <f>F143</f>
        <v>50</v>
      </c>
    </row>
    <row r="145" spans="1:8" x14ac:dyDescent="0.2">
      <c r="H145" s="67">
        <f>SUM(H141:H144)</f>
        <v>50</v>
      </c>
    </row>
    <row r="146" spans="1:8" ht="13.5" thickBot="1" x14ac:dyDescent="0.25">
      <c r="A146" s="37" t="s">
        <v>98</v>
      </c>
    </row>
    <row r="147" spans="1:8" x14ac:dyDescent="0.2">
      <c r="A147" s="68" t="s">
        <v>99</v>
      </c>
      <c r="B147" s="69">
        <f>B6</f>
        <v>17.5</v>
      </c>
      <c r="C147" s="70" t="s">
        <v>177</v>
      </c>
      <c r="D147" s="71">
        <v>1.5</v>
      </c>
    </row>
    <row r="148" spans="1:8" x14ac:dyDescent="0.2">
      <c r="A148" s="72" t="s">
        <v>17</v>
      </c>
      <c r="B148" s="18" t="s">
        <v>100</v>
      </c>
      <c r="C148" s="18" t="s">
        <v>162</v>
      </c>
      <c r="D148" s="73" t="s">
        <v>163</v>
      </c>
    </row>
    <row r="149" spans="1:8" x14ac:dyDescent="0.2">
      <c r="A149" s="72" t="s">
        <v>2</v>
      </c>
      <c r="B149" s="191"/>
      <c r="C149" s="191"/>
      <c r="D149" s="74">
        <v>1</v>
      </c>
      <c r="H149" s="121">
        <f>F20*D142</f>
        <v>0</v>
      </c>
    </row>
    <row r="150" spans="1:8" x14ac:dyDescent="0.2">
      <c r="A150" s="72" t="s">
        <v>101</v>
      </c>
      <c r="B150" s="191"/>
      <c r="C150" s="191"/>
      <c r="D150" s="80" t="e">
        <f>B150/$B$149</f>
        <v>#DIV/0!</v>
      </c>
      <c r="H150" s="121">
        <f>H143-H149</f>
        <v>0</v>
      </c>
    </row>
    <row r="151" spans="1:8" x14ac:dyDescent="0.2">
      <c r="A151" s="72" t="s">
        <v>176</v>
      </c>
      <c r="B151" s="191"/>
      <c r="C151" s="191"/>
      <c r="D151" s="80" t="e">
        <f t="shared" ref="D151:D155" si="4">B151/$B$149</f>
        <v>#DIV/0!</v>
      </c>
    </row>
    <row r="152" spans="1:8" x14ac:dyDescent="0.2">
      <c r="A152" s="72" t="s">
        <v>103</v>
      </c>
      <c r="B152" s="191"/>
      <c r="C152" s="191"/>
      <c r="D152" s="80" t="e">
        <f t="shared" si="4"/>
        <v>#DIV/0!</v>
      </c>
    </row>
    <row r="153" spans="1:8" x14ac:dyDescent="0.2">
      <c r="A153" s="72" t="s">
        <v>138</v>
      </c>
      <c r="B153" s="191"/>
      <c r="C153" s="191"/>
      <c r="D153" s="80" t="e">
        <f t="shared" si="4"/>
        <v>#DIV/0!</v>
      </c>
    </row>
    <row r="154" spans="1:8" x14ac:dyDescent="0.2">
      <c r="A154" s="72" t="s">
        <v>104</v>
      </c>
      <c r="B154" s="191"/>
      <c r="C154" s="191"/>
      <c r="D154" s="80" t="e">
        <f t="shared" si="4"/>
        <v>#DIV/0!</v>
      </c>
    </row>
    <row r="155" spans="1:8" x14ac:dyDescent="0.2">
      <c r="A155" s="72" t="s">
        <v>105</v>
      </c>
      <c r="B155" s="191"/>
      <c r="C155" s="191"/>
      <c r="D155" s="80" t="e">
        <f t="shared" si="4"/>
        <v>#DIV/0!</v>
      </c>
    </row>
    <row r="156" spans="1:8" x14ac:dyDescent="0.2">
      <c r="A156" s="72" t="s">
        <v>110</v>
      </c>
      <c r="B156" s="191"/>
      <c r="C156" s="24"/>
      <c r="D156" s="36"/>
    </row>
    <row r="157" spans="1:8" ht="13.5" thickBot="1" x14ac:dyDescent="0.25">
      <c r="A157" s="75" t="s">
        <v>115</v>
      </c>
      <c r="B157" s="192"/>
      <c r="C157" s="193"/>
      <c r="D157" s="40"/>
    </row>
    <row r="159" spans="1:8" x14ac:dyDescent="0.2">
      <c r="A159" s="28" t="s">
        <v>106</v>
      </c>
      <c r="B159" s="83">
        <f>E124+E133+E134</f>
        <v>0</v>
      </c>
      <c r="C159" s="84" t="s">
        <v>179</v>
      </c>
    </row>
    <row r="160" spans="1:8" x14ac:dyDescent="0.2">
      <c r="A160" s="28" t="s">
        <v>107</v>
      </c>
      <c r="B160" s="61">
        <f>D138-B159</f>
        <v>0</v>
      </c>
    </row>
    <row r="161" spans="1:6" x14ac:dyDescent="0.2">
      <c r="A161" s="28" t="s">
        <v>174</v>
      </c>
      <c r="B161" s="38">
        <f>F142</f>
        <v>0</v>
      </c>
    </row>
    <row r="162" spans="1:6" x14ac:dyDescent="0.2">
      <c r="A162" s="28" t="s">
        <v>175</v>
      </c>
      <c r="B162" s="38">
        <f>F143</f>
        <v>50</v>
      </c>
    </row>
    <row r="164" spans="1:6" x14ac:dyDescent="0.2">
      <c r="A164" s="4"/>
      <c r="B164" s="20"/>
      <c r="C164" s="20"/>
      <c r="D164" s="20"/>
      <c r="E164" s="184"/>
      <c r="F164" s="76"/>
    </row>
    <row r="165" spans="1:6" ht="13.5" thickBot="1" x14ac:dyDescent="0.25">
      <c r="A165" s="4" t="s">
        <v>109</v>
      </c>
      <c r="B165" s="76"/>
      <c r="C165" s="20"/>
      <c r="D165" s="20"/>
      <c r="E165" s="184"/>
      <c r="F165" s="76"/>
    </row>
    <row r="166" spans="1:6" x14ac:dyDescent="0.2">
      <c r="A166" s="77" t="s">
        <v>1</v>
      </c>
      <c r="B166" s="81" t="s">
        <v>2</v>
      </c>
      <c r="C166" s="82" t="s">
        <v>101</v>
      </c>
      <c r="D166" s="82" t="s">
        <v>102</v>
      </c>
      <c r="E166" s="185" t="s">
        <v>178</v>
      </c>
      <c r="F166" s="163" t="s">
        <v>192</v>
      </c>
    </row>
    <row r="167" spans="1:6" x14ac:dyDescent="0.2">
      <c r="A167" s="6" t="s">
        <v>3</v>
      </c>
      <c r="B167" s="204"/>
      <c r="C167" s="204"/>
      <c r="D167" s="204"/>
      <c r="E167" s="189"/>
      <c r="F167" s="205"/>
    </row>
    <row r="168" spans="1:6" x14ac:dyDescent="0.2">
      <c r="A168" s="93" t="s">
        <v>187</v>
      </c>
      <c r="B168" s="204"/>
      <c r="C168" s="204"/>
      <c r="D168" s="204"/>
      <c r="E168" s="189"/>
      <c r="F168" s="205"/>
    </row>
    <row r="169" spans="1:6" x14ac:dyDescent="0.2">
      <c r="A169" s="6" t="s">
        <v>4</v>
      </c>
      <c r="B169" s="204"/>
      <c r="C169" s="204"/>
      <c r="D169" s="204"/>
      <c r="E169" s="189"/>
      <c r="F169" s="205"/>
    </row>
    <row r="170" spans="1:6" x14ac:dyDescent="0.2">
      <c r="A170" s="6" t="s">
        <v>5</v>
      </c>
      <c r="B170" s="204"/>
      <c r="C170" s="204"/>
      <c r="D170" s="204"/>
      <c r="E170" s="189"/>
      <c r="F170" s="205"/>
    </row>
    <row r="171" spans="1:6" ht="13.5" thickBot="1" x14ac:dyDescent="0.25">
      <c r="A171" s="39"/>
      <c r="B171" s="206"/>
      <c r="C171" s="206"/>
      <c r="D171" s="206"/>
      <c r="E171" s="207"/>
      <c r="F171" s="205"/>
    </row>
    <row r="172" spans="1:6" x14ac:dyDescent="0.2">
      <c r="A172" s="4"/>
      <c r="B172" s="20"/>
      <c r="C172" s="20"/>
      <c r="D172" s="20"/>
      <c r="E172" s="184"/>
      <c r="F172" s="76"/>
    </row>
    <row r="173" spans="1:6" x14ac:dyDescent="0.2">
      <c r="A173" s="4"/>
      <c r="B173" s="20"/>
      <c r="C173" s="20"/>
      <c r="D173" s="20"/>
      <c r="E173" s="184"/>
      <c r="F173" s="76"/>
    </row>
    <row r="174" spans="1:6" x14ac:dyDescent="0.2">
      <c r="A174" s="20"/>
      <c r="B174" s="20"/>
      <c r="C174" s="20"/>
      <c r="D174" s="20"/>
      <c r="E174" s="184"/>
      <c r="F174" s="76"/>
    </row>
    <row r="175" spans="1:6" x14ac:dyDescent="0.2">
      <c r="A175" s="4"/>
      <c r="B175" s="4"/>
      <c r="C175" s="4"/>
      <c r="D175" s="4"/>
      <c r="E175" s="184"/>
      <c r="F175" s="76"/>
    </row>
    <row r="176" spans="1:6" x14ac:dyDescent="0.2">
      <c r="A176" s="4"/>
      <c r="B176" s="4"/>
      <c r="C176" s="4"/>
      <c r="D176" s="4"/>
      <c r="E176" s="184"/>
      <c r="F176" s="76"/>
    </row>
    <row r="177" spans="1:6" x14ac:dyDescent="0.2">
      <c r="A177" s="4"/>
      <c r="B177" s="4"/>
      <c r="C177" s="4"/>
      <c r="D177" s="4"/>
      <c r="E177" s="184"/>
      <c r="F177" s="76"/>
    </row>
    <row r="178" spans="1:6" x14ac:dyDescent="0.2">
      <c r="A178" s="4"/>
      <c r="B178" s="4"/>
      <c r="C178" s="4"/>
      <c r="D178" s="4"/>
      <c r="E178" s="184"/>
      <c r="F178" s="76"/>
    </row>
    <row r="179" spans="1:6" x14ac:dyDescent="0.2">
      <c r="A179" s="20"/>
      <c r="B179" s="20"/>
      <c r="C179" s="20"/>
      <c r="D179" s="20"/>
      <c r="E179" s="184"/>
      <c r="F179" s="76"/>
    </row>
    <row r="180" spans="1:6" x14ac:dyDescent="0.2">
      <c r="A180" s="20"/>
      <c r="B180" s="20"/>
      <c r="C180" s="20"/>
      <c r="D180" s="20"/>
      <c r="E180" s="184"/>
      <c r="F180" s="76"/>
    </row>
    <row r="181" spans="1:6" x14ac:dyDescent="0.2">
      <c r="A181" s="20"/>
      <c r="B181" s="20"/>
      <c r="C181" s="20"/>
      <c r="D181" s="20"/>
      <c r="E181" s="184"/>
      <c r="F181" s="76"/>
    </row>
    <row r="201" spans="1:8" x14ac:dyDescent="0.2">
      <c r="A201" s="4"/>
      <c r="B201" s="78"/>
      <c r="C201" s="78"/>
      <c r="D201" s="78"/>
      <c r="E201" s="172"/>
      <c r="F201" s="78"/>
      <c r="G201" s="20"/>
    </row>
    <row r="202" spans="1:8" x14ac:dyDescent="0.2">
      <c r="A202" s="4"/>
      <c r="B202" s="4"/>
      <c r="C202" s="4"/>
      <c r="D202" s="4"/>
      <c r="E202" s="172"/>
      <c r="F202" s="78"/>
      <c r="G202" s="4"/>
    </row>
    <row r="203" spans="1:8" x14ac:dyDescent="0.2">
      <c r="A203" s="20"/>
      <c r="B203" s="76"/>
      <c r="C203" s="20"/>
      <c r="D203" s="20"/>
      <c r="E203" s="184"/>
      <c r="F203" s="76"/>
      <c r="G203" s="20"/>
    </row>
    <row r="204" spans="1:8" x14ac:dyDescent="0.2">
      <c r="A204" s="20"/>
      <c r="B204" s="20"/>
      <c r="C204" s="20"/>
      <c r="D204" s="20"/>
      <c r="E204" s="184"/>
      <c r="F204" s="76"/>
      <c r="G204" s="20"/>
    </row>
    <row r="205" spans="1:8" x14ac:dyDescent="0.2">
      <c r="A205" s="20"/>
      <c r="B205" s="20"/>
      <c r="C205" s="20"/>
      <c r="D205" s="20"/>
      <c r="E205" s="184"/>
      <c r="F205" s="76"/>
      <c r="G205" s="20"/>
    </row>
    <row r="206" spans="1:8" x14ac:dyDescent="0.2">
      <c r="A206" s="20"/>
      <c r="B206" s="20"/>
      <c r="C206" s="20"/>
      <c r="D206" s="20"/>
      <c r="E206" s="184"/>
      <c r="F206" s="76"/>
      <c r="G206" s="20"/>
    </row>
    <row r="207" spans="1:8" x14ac:dyDescent="0.2">
      <c r="A207" s="20"/>
      <c r="B207" s="20"/>
      <c r="C207" s="20"/>
      <c r="D207" s="20"/>
      <c r="E207" s="184"/>
      <c r="F207" s="76"/>
      <c r="G207" s="20"/>
    </row>
    <row r="208" spans="1:8" x14ac:dyDescent="0.2">
      <c r="A208" s="20"/>
      <c r="B208" s="20"/>
      <c r="C208" s="20"/>
      <c r="D208" s="76"/>
      <c r="E208" s="184"/>
      <c r="F208" s="76"/>
      <c r="G208" s="20"/>
      <c r="H208" s="79"/>
    </row>
    <row r="209" spans="1:7" x14ac:dyDescent="0.2">
      <c r="A209" s="20"/>
      <c r="B209" s="20"/>
      <c r="C209" s="20"/>
      <c r="D209" s="76"/>
      <c r="E209" s="184"/>
      <c r="F209" s="76"/>
      <c r="G209" s="76"/>
    </row>
    <row r="210" spans="1:7" x14ac:dyDescent="0.2">
      <c r="A210" s="20"/>
      <c r="B210" s="20"/>
      <c r="C210" s="20"/>
      <c r="D210" s="20"/>
      <c r="E210" s="184"/>
      <c r="F210" s="76"/>
      <c r="G210" s="20"/>
    </row>
    <row r="211" spans="1:7" x14ac:dyDescent="0.2">
      <c r="A211" s="4"/>
      <c r="B211" s="4"/>
      <c r="C211" s="4"/>
      <c r="D211" s="4"/>
      <c r="E211" s="172"/>
      <c r="F211" s="78"/>
      <c r="G211" s="20"/>
    </row>
    <row r="212" spans="1:7" x14ac:dyDescent="0.2">
      <c r="A212" s="20"/>
      <c r="B212" s="20"/>
      <c r="C212" s="20"/>
      <c r="D212" s="20"/>
      <c r="E212" s="184"/>
      <c r="F212" s="76"/>
      <c r="G212" s="20"/>
    </row>
    <row r="213" spans="1:7" x14ac:dyDescent="0.2">
      <c r="A213" s="20"/>
      <c r="B213" s="20"/>
      <c r="C213" s="76"/>
      <c r="D213" s="20"/>
      <c r="E213" s="184"/>
      <c r="F213" s="76"/>
      <c r="G213" s="20"/>
    </row>
    <row r="214" spans="1:7" x14ac:dyDescent="0.2">
      <c r="A214" s="20"/>
      <c r="B214" s="20"/>
      <c r="C214" s="76"/>
      <c r="D214" s="76"/>
      <c r="E214" s="184"/>
      <c r="F214" s="76"/>
      <c r="G214" s="20"/>
    </row>
    <row r="215" spans="1:7" x14ac:dyDescent="0.2">
      <c r="A215" s="20"/>
      <c r="B215" s="20"/>
      <c r="C215" s="76"/>
      <c r="D215" s="76"/>
      <c r="E215" s="184"/>
      <c r="F215" s="76"/>
      <c r="G215" s="20"/>
    </row>
    <row r="216" spans="1:7" x14ac:dyDescent="0.2">
      <c r="A216" s="20"/>
      <c r="B216" s="20"/>
      <c r="C216" s="20"/>
      <c r="D216" s="76"/>
      <c r="E216" s="184"/>
      <c r="F216" s="76"/>
      <c r="G216" s="20"/>
    </row>
    <row r="217" spans="1:7" x14ac:dyDescent="0.2">
      <c r="F217" s="76"/>
    </row>
  </sheetData>
  <mergeCells count="3">
    <mergeCell ref="F133:F135"/>
    <mergeCell ref="F130:F132"/>
    <mergeCell ref="A3:E3"/>
  </mergeCells>
  <phoneticPr fontId="0" type="noConversion"/>
  <pageMargins left="0.78740157499999996" right="0.78740157499999996" top="0.984251969" bottom="0.984251969" header="0.49212598499999999" footer="0.49212598499999999"/>
  <pageSetup paperSize="9" orientation="landscape" horizontalDpi="0" verticalDpi="0" r:id="rId1"/>
  <headerFooter alignWithMargins="0"/>
  <rowBreaks count="3" manualBreakCount="3">
    <brk id="35" max="16383" man="1"/>
    <brk id="98" max="16383" man="1"/>
    <brk id="12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activeCell="C27" sqref="C27"/>
    </sheetView>
  </sheetViews>
  <sheetFormatPr defaultRowHeight="12.75" x14ac:dyDescent="0.2"/>
  <cols>
    <col min="1" max="1" width="9.140625" style="29" customWidth="1"/>
    <col min="2" max="2" width="10" style="29" customWidth="1"/>
    <col min="3" max="3" width="12.140625" style="29" customWidth="1"/>
    <col min="4" max="4" width="10.7109375" style="29" customWidth="1"/>
    <col min="5" max="5" width="9.140625" style="29" customWidth="1"/>
    <col min="6" max="16384" width="9.140625" style="29"/>
  </cols>
  <sheetData>
    <row r="1" spans="1:3" x14ac:dyDescent="0.2">
      <c r="A1" s="37" t="s">
        <v>114</v>
      </c>
    </row>
    <row r="3" spans="1:3" x14ac:dyDescent="0.2">
      <c r="A3" s="85" t="s">
        <v>132</v>
      </c>
    </row>
    <row r="4" spans="1:3" x14ac:dyDescent="0.2">
      <c r="A4" s="84" t="s">
        <v>249</v>
      </c>
    </row>
    <row r="5" spans="1:3" x14ac:dyDescent="0.2">
      <c r="A5" s="85" t="s">
        <v>129</v>
      </c>
    </row>
    <row r="7" spans="1:3" x14ac:dyDescent="0.2">
      <c r="A7" s="5" t="s">
        <v>130</v>
      </c>
      <c r="B7" s="194"/>
    </row>
    <row r="8" spans="1:3" x14ac:dyDescent="0.2">
      <c r="A8" s="5" t="s">
        <v>131</v>
      </c>
      <c r="B8" s="194"/>
    </row>
    <row r="9" spans="1:3" x14ac:dyDescent="0.2">
      <c r="A9" s="37"/>
      <c r="B9" s="37"/>
    </row>
    <row r="10" spans="1:3" x14ac:dyDescent="0.2">
      <c r="A10" s="18" t="s">
        <v>133</v>
      </c>
      <c r="B10" s="18" t="s">
        <v>110</v>
      </c>
    </row>
    <row r="11" spans="1:3" x14ac:dyDescent="0.2">
      <c r="A11" s="18">
        <v>0</v>
      </c>
      <c r="B11" s="195"/>
    </row>
    <row r="12" spans="1:3" x14ac:dyDescent="0.2">
      <c r="A12" s="18">
        <f>'Cálculo básico'!B147/'Cálculo básico'!D147</f>
        <v>11.666666666666666</v>
      </c>
      <c r="B12" s="195"/>
      <c r="C12" s="29">
        <f>'Cálculo básico'!B156</f>
        <v>0</v>
      </c>
    </row>
    <row r="16" spans="1:3" x14ac:dyDescent="0.2">
      <c r="A16" s="85" t="s">
        <v>134</v>
      </c>
    </row>
    <row r="17" spans="1:4" x14ac:dyDescent="0.2">
      <c r="A17" s="84" t="s">
        <v>250</v>
      </c>
    </row>
    <row r="18" spans="1:4" x14ac:dyDescent="0.2">
      <c r="A18" s="85" t="s">
        <v>135</v>
      </c>
    </row>
    <row r="20" spans="1:4" x14ac:dyDescent="0.2">
      <c r="A20" s="5" t="s">
        <v>130</v>
      </c>
      <c r="B20" s="195"/>
      <c r="C20" s="37"/>
    </row>
    <row r="21" spans="1:4" x14ac:dyDescent="0.2">
      <c r="A21" s="5" t="s">
        <v>131</v>
      </c>
      <c r="B21" s="195"/>
      <c r="C21" s="37"/>
    </row>
    <row r="22" spans="1:4" x14ac:dyDescent="0.2">
      <c r="A22" s="37"/>
      <c r="B22" s="37"/>
      <c r="C22" s="37"/>
    </row>
    <row r="23" spans="1:4" ht="25.5" x14ac:dyDescent="0.2">
      <c r="A23" s="18" t="s">
        <v>136</v>
      </c>
      <c r="B23" s="108" t="s">
        <v>190</v>
      </c>
      <c r="C23" s="123" t="s">
        <v>240</v>
      </c>
    </row>
    <row r="24" spans="1:4" x14ac:dyDescent="0.2">
      <c r="A24" s="18">
        <v>0</v>
      </c>
      <c r="B24" s="195"/>
      <c r="C24" s="18">
        <f>700*13</f>
        <v>9100</v>
      </c>
    </row>
    <row r="25" spans="1:4" x14ac:dyDescent="0.2">
      <c r="A25" s="18">
        <f>'Cálculo básico'!B147/'Cálculo básico'!D147</f>
        <v>11.666666666666666</v>
      </c>
      <c r="B25" s="195"/>
      <c r="C25" s="18">
        <f>700*13</f>
        <v>9100</v>
      </c>
    </row>
    <row r="26" spans="1:4" x14ac:dyDescent="0.2">
      <c r="A26" s="37"/>
      <c r="B26" s="37"/>
      <c r="C26" s="37"/>
    </row>
    <row r="27" spans="1:4" x14ac:dyDescent="0.2">
      <c r="A27" s="28" t="s">
        <v>157</v>
      </c>
      <c r="B27" s="86"/>
      <c r="C27" s="196"/>
      <c r="D27" s="85" t="s">
        <v>158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zoomScale="110" zoomScaleNormal="110" workbookViewId="0">
      <selection activeCell="B18" sqref="B18"/>
    </sheetView>
  </sheetViews>
  <sheetFormatPr defaultRowHeight="12.75" x14ac:dyDescent="0.2"/>
  <cols>
    <col min="1" max="1" width="1.7109375" customWidth="1"/>
    <col min="2" max="2" width="21.7109375" customWidth="1"/>
    <col min="4" max="4" width="10.28515625" customWidth="1"/>
    <col min="5" max="5" width="12.7109375" customWidth="1"/>
    <col min="6" max="6" width="10.5703125" bestFit="1" customWidth="1"/>
    <col min="8" max="8" width="14" customWidth="1"/>
    <col min="9" max="9" width="15.140625" customWidth="1"/>
    <col min="10" max="10" width="13.140625" customWidth="1"/>
    <col min="11" max="11" width="12.28515625" customWidth="1"/>
    <col min="12" max="12" width="10.28515625" customWidth="1"/>
  </cols>
  <sheetData>
    <row r="1" spans="2:13" x14ac:dyDescent="0.2">
      <c r="B1" s="98" t="s">
        <v>139</v>
      </c>
      <c r="C1" s="10"/>
      <c r="D1" s="10"/>
      <c r="E1" s="10"/>
      <c r="F1" s="10"/>
      <c r="G1" s="10"/>
      <c r="H1" s="10"/>
      <c r="I1" s="10"/>
      <c r="J1" s="10"/>
      <c r="K1" s="10"/>
    </row>
    <row r="2" spans="2:13" x14ac:dyDescent="0.2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3" x14ac:dyDescent="0.2">
      <c r="B3" s="8" t="s">
        <v>140</v>
      </c>
      <c r="C3" s="8" t="s">
        <v>141</v>
      </c>
      <c r="D3" s="8" t="s">
        <v>2</v>
      </c>
      <c r="E3" s="8" t="s">
        <v>101</v>
      </c>
      <c r="F3" s="13" t="s">
        <v>143</v>
      </c>
      <c r="G3" s="13" t="s">
        <v>144</v>
      </c>
      <c r="H3" s="13" t="s">
        <v>145</v>
      </c>
      <c r="I3" s="48" t="s">
        <v>237</v>
      </c>
      <c r="J3" s="13" t="s">
        <v>146</v>
      </c>
      <c r="K3" s="48" t="s">
        <v>238</v>
      </c>
      <c r="L3" s="8" t="s">
        <v>147</v>
      </c>
    </row>
    <row r="4" spans="2:13" x14ac:dyDescent="0.2">
      <c r="B4" s="8" t="s">
        <v>5</v>
      </c>
      <c r="C4" s="11">
        <f>'Cálculo básico'!B36</f>
        <v>0.5</v>
      </c>
      <c r="D4" s="197"/>
      <c r="E4" s="197"/>
      <c r="F4" s="197"/>
      <c r="G4" s="198"/>
      <c r="H4" s="197"/>
      <c r="I4" s="199"/>
      <c r="J4" s="214"/>
      <c r="K4" s="214"/>
      <c r="L4" s="200"/>
    </row>
    <row r="5" spans="2:13" x14ac:dyDescent="0.2">
      <c r="B5" s="27" t="s">
        <v>248</v>
      </c>
      <c r="C5" s="11">
        <f>'Cálculo básico'!B18</f>
        <v>0</v>
      </c>
      <c r="D5" s="197"/>
      <c r="E5" s="197"/>
      <c r="F5" s="197"/>
      <c r="G5" s="197"/>
      <c r="H5" s="197"/>
      <c r="I5" s="199"/>
      <c r="J5" s="215"/>
      <c r="K5" s="215"/>
      <c r="L5" s="201"/>
    </row>
    <row r="6" spans="2:13" x14ac:dyDescent="0.2">
      <c r="B6" s="27" t="s">
        <v>188</v>
      </c>
      <c r="C6" s="11">
        <f>'Cálculo básico'!D49</f>
        <v>17</v>
      </c>
      <c r="D6" s="197"/>
      <c r="E6" s="197"/>
      <c r="F6" s="197"/>
      <c r="G6" s="197"/>
      <c r="H6" s="197"/>
      <c r="I6" s="199"/>
      <c r="J6" s="216"/>
      <c r="K6" s="216"/>
      <c r="L6" s="202"/>
    </row>
    <row r="7" spans="2:13" x14ac:dyDescent="0.2">
      <c r="B7" s="8" t="s">
        <v>142</v>
      </c>
      <c r="C7" s="11">
        <f t="shared" ref="C7" si="0">SUM(C4:C6)</f>
        <v>17.5</v>
      </c>
      <c r="D7" s="197"/>
      <c r="E7" s="197"/>
      <c r="F7" s="197"/>
      <c r="G7" s="197"/>
      <c r="H7" s="197"/>
      <c r="I7" s="197"/>
      <c r="J7" s="197"/>
      <c r="K7" s="197"/>
      <c r="L7" s="197"/>
      <c r="M7">
        <f>L7/E10</f>
        <v>0</v>
      </c>
    </row>
    <row r="8" spans="2:13" x14ac:dyDescent="0.2">
      <c r="B8" s="10"/>
      <c r="C8" s="10"/>
      <c r="D8" s="14"/>
      <c r="E8" s="14"/>
      <c r="F8" s="10"/>
      <c r="G8" s="10"/>
      <c r="H8" s="15"/>
      <c r="I8" s="10"/>
      <c r="J8" s="15"/>
      <c r="K8" s="12"/>
      <c r="L8" s="87" t="s">
        <v>251</v>
      </c>
      <c r="M8" s="122">
        <f>'Cálculo básico'!E17</f>
        <v>0</v>
      </c>
    </row>
    <row r="9" spans="2:13" x14ac:dyDescent="0.2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3" x14ac:dyDescent="0.2">
      <c r="B10" s="97" t="s">
        <v>148</v>
      </c>
      <c r="C10" s="10"/>
      <c r="D10" s="27" t="s">
        <v>180</v>
      </c>
      <c r="E10" s="1">
        <f>'Cálculo básico'!G7</f>
        <v>1.5</v>
      </c>
      <c r="F10" s="10"/>
      <c r="G10" s="10"/>
      <c r="H10" s="10"/>
      <c r="I10" s="10"/>
      <c r="J10" s="10"/>
      <c r="K10" s="10"/>
      <c r="M10" s="87"/>
    </row>
    <row r="11" spans="2:13" x14ac:dyDescent="0.2">
      <c r="B11" s="8" t="s">
        <v>140</v>
      </c>
      <c r="C11" s="8" t="s">
        <v>149</v>
      </c>
      <c r="D11" s="8" t="s">
        <v>150</v>
      </c>
      <c r="E11" s="13" t="s">
        <v>151</v>
      </c>
      <c r="F11" s="10"/>
      <c r="G11" s="10"/>
      <c r="H11" s="10"/>
      <c r="I11" s="10"/>
      <c r="J11" s="10"/>
      <c r="K11" s="10"/>
    </row>
    <row r="12" spans="2:13" x14ac:dyDescent="0.2">
      <c r="B12" s="8" t="str">
        <f>B4</f>
        <v>Subsistência</v>
      </c>
      <c r="C12" s="197"/>
      <c r="D12" s="197"/>
      <c r="E12" s="214"/>
      <c r="F12" s="10"/>
      <c r="G12" s="10"/>
      <c r="H12" s="10"/>
      <c r="I12" s="10"/>
      <c r="J12" s="10"/>
      <c r="K12" s="10"/>
    </row>
    <row r="13" spans="2:13" x14ac:dyDescent="0.2">
      <c r="B13" s="8" t="str">
        <f t="shared" ref="B13:B14" si="1">B5</f>
        <v>Leite (Tifton+Milho/Aveia)</v>
      </c>
      <c r="C13" s="197"/>
      <c r="D13" s="197"/>
      <c r="E13" s="215"/>
      <c r="F13" s="10"/>
      <c r="G13" s="10"/>
      <c r="H13" s="10"/>
      <c r="I13" s="10"/>
      <c r="J13" s="10"/>
      <c r="K13" s="10"/>
    </row>
    <row r="14" spans="2:13" x14ac:dyDescent="0.2">
      <c r="B14" s="8" t="str">
        <f t="shared" si="1"/>
        <v>Soja/Trigo</v>
      </c>
      <c r="C14" s="197"/>
      <c r="D14" s="197"/>
      <c r="E14" s="216"/>
      <c r="F14" s="10"/>
      <c r="G14" s="10"/>
      <c r="H14" s="10"/>
      <c r="I14" s="10"/>
      <c r="J14" s="10"/>
      <c r="K14" s="10"/>
    </row>
    <row r="15" spans="2:13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2:13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x14ac:dyDescent="0.2">
      <c r="B17" s="97" t="s">
        <v>152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2:11" x14ac:dyDescent="0.2">
      <c r="B18" s="13" t="s">
        <v>136</v>
      </c>
      <c r="C18" s="27" t="s">
        <v>183</v>
      </c>
      <c r="D18" s="27" t="s">
        <v>184</v>
      </c>
      <c r="E18" s="27" t="s">
        <v>189</v>
      </c>
      <c r="F18" s="10"/>
      <c r="G18" s="10"/>
      <c r="H18" s="10"/>
      <c r="I18" s="10"/>
      <c r="J18" s="10"/>
      <c r="K18" s="10"/>
    </row>
    <row r="19" spans="2:11" x14ac:dyDescent="0.2">
      <c r="B19" s="1"/>
      <c r="C19" s="197"/>
      <c r="D19" s="197"/>
      <c r="E19" s="197"/>
      <c r="F19" s="10"/>
      <c r="G19" s="10"/>
      <c r="H19" s="10"/>
      <c r="I19" s="10"/>
      <c r="J19" s="10"/>
      <c r="K19" s="10"/>
    </row>
    <row r="20" spans="2:11" x14ac:dyDescent="0.2">
      <c r="B20" s="11">
        <v>0</v>
      </c>
      <c r="C20" s="197"/>
      <c r="D20" s="197"/>
      <c r="E20" s="197"/>
      <c r="F20" s="10"/>
      <c r="G20" s="10"/>
      <c r="H20" s="10"/>
      <c r="I20" s="10"/>
      <c r="J20" s="10"/>
      <c r="K20" s="10"/>
    </row>
    <row r="21" spans="2:11" x14ac:dyDescent="0.2">
      <c r="B21" s="11">
        <f>C4/E10</f>
        <v>0.33333333333333331</v>
      </c>
      <c r="C21" s="197"/>
      <c r="D21" s="197"/>
      <c r="E21" s="197"/>
      <c r="F21" s="10"/>
      <c r="G21" s="10"/>
      <c r="H21" s="10"/>
      <c r="I21" s="10"/>
      <c r="J21" s="10"/>
      <c r="K21" s="10"/>
    </row>
    <row r="22" spans="2:11" x14ac:dyDescent="0.2">
      <c r="B22" s="11">
        <f>B21</f>
        <v>0.33333333333333331</v>
      </c>
      <c r="C22" s="197"/>
      <c r="D22" s="197"/>
      <c r="E22" s="197"/>
      <c r="F22" s="10"/>
      <c r="G22" s="10"/>
      <c r="H22" s="10"/>
      <c r="I22" s="10"/>
      <c r="J22" s="10"/>
      <c r="K22" s="10"/>
    </row>
    <row r="23" spans="2:11" x14ac:dyDescent="0.2">
      <c r="B23" s="11">
        <f>C5/E10+B22</f>
        <v>0.33333333333333331</v>
      </c>
      <c r="C23" s="197"/>
      <c r="D23" s="197"/>
      <c r="E23" s="197"/>
      <c r="F23" s="10"/>
      <c r="G23" s="10"/>
      <c r="H23" s="10"/>
      <c r="I23" s="10"/>
      <c r="J23" s="10"/>
      <c r="K23" s="10"/>
    </row>
    <row r="24" spans="2:11" x14ac:dyDescent="0.2">
      <c r="B24" s="11">
        <f>B23</f>
        <v>0.33333333333333331</v>
      </c>
      <c r="C24" s="197"/>
      <c r="D24" s="197"/>
      <c r="E24" s="197"/>
      <c r="F24" s="10"/>
      <c r="G24" s="10"/>
      <c r="H24" s="10"/>
      <c r="I24" s="10"/>
      <c r="J24" s="10"/>
      <c r="K24" s="10"/>
    </row>
    <row r="25" spans="2:11" x14ac:dyDescent="0.2">
      <c r="B25" s="11">
        <f>C6/E10+B23</f>
        <v>11.666666666666668</v>
      </c>
      <c r="C25" s="197"/>
      <c r="D25" s="197"/>
      <c r="E25" s="197"/>
      <c r="F25" s="10"/>
      <c r="G25" s="10"/>
      <c r="H25" s="10"/>
      <c r="I25" s="10"/>
      <c r="J25" s="10"/>
      <c r="K25" s="10"/>
    </row>
    <row r="26" spans="2:11" x14ac:dyDescent="0.2">
      <c r="B26" s="15"/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2">
      <c r="B27" s="10"/>
    </row>
  </sheetData>
  <mergeCells count="3">
    <mergeCell ref="J4:J6"/>
    <mergeCell ref="E12:E14"/>
    <mergeCell ref="K4:K6"/>
  </mergeCells>
  <phoneticPr fontId="0" type="noConversion"/>
  <pageMargins left="0.78740157499999996" right="0.78740157499999996" top="0.984251969" bottom="0.984251969" header="0.49212598499999999" footer="0.49212598499999999"/>
  <pageSetup paperSize="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showGridLines="0" zoomScale="120" zoomScaleNormal="120" workbookViewId="0">
      <selection activeCell="B5" sqref="B5"/>
    </sheetView>
  </sheetViews>
  <sheetFormatPr defaultRowHeight="12.75" x14ac:dyDescent="0.2"/>
  <cols>
    <col min="1" max="1" width="6.28515625" customWidth="1"/>
    <col min="2" max="2" width="13.28515625" customWidth="1"/>
    <col min="3" max="5" width="10.85546875" customWidth="1"/>
    <col min="6" max="6" width="12" customWidth="1"/>
  </cols>
  <sheetData>
    <row r="1" spans="2:7" x14ac:dyDescent="0.2">
      <c r="B1" t="str">
        <f>'Cálculo básico'!A1</f>
        <v>Sistema de produção de leite e graõs comerciais e atividades para autoconsumo</v>
      </c>
    </row>
    <row r="3" spans="2:7" x14ac:dyDescent="0.2">
      <c r="B3" t="str">
        <f>'Cálculo básico'!A165</f>
        <v>6-QUADRO SINTESE DOS RESULTADOS DAS ATIVIDADES</v>
      </c>
    </row>
    <row r="5" spans="2:7" x14ac:dyDescent="0.2">
      <c r="B5" s="3" t="str">
        <f>'Cálculo básico'!A166</f>
        <v>Atividade</v>
      </c>
      <c r="C5" s="1" t="str">
        <f>'Cálculo básico'!B166</f>
        <v>PB</v>
      </c>
      <c r="D5" s="1" t="str">
        <f>'Cálculo básico'!C166</f>
        <v>CI</v>
      </c>
      <c r="E5" s="1" t="str">
        <f>'Cálculo básico'!D166</f>
        <v>VAB</v>
      </c>
      <c r="F5" s="1" t="str">
        <f>'Cálculo básico'!E166</f>
        <v>VAB/ha</v>
      </c>
      <c r="G5" s="1" t="str">
        <f>'Cálculo básico'!F166</f>
        <v>% VAB</v>
      </c>
    </row>
    <row r="6" spans="2:7" x14ac:dyDescent="0.2">
      <c r="B6" s="3" t="str">
        <f>'Cálculo básico'!A167</f>
        <v>Soja</v>
      </c>
      <c r="C6" s="191"/>
      <c r="D6" s="191"/>
      <c r="E6" s="191"/>
      <c r="F6" s="191"/>
      <c r="G6" s="26"/>
    </row>
    <row r="7" spans="2:7" x14ac:dyDescent="0.2">
      <c r="B7" s="3" t="str">
        <f>'Cálculo básico'!A168</f>
        <v>Trigo</v>
      </c>
      <c r="C7" s="191"/>
      <c r="D7" s="191"/>
      <c r="E7" s="191"/>
      <c r="F7" s="191"/>
      <c r="G7" s="26"/>
    </row>
    <row r="8" spans="2:7" x14ac:dyDescent="0.2">
      <c r="B8" s="3" t="str">
        <f>'Cálculo básico'!A169</f>
        <v>Leite</v>
      </c>
      <c r="C8" s="191"/>
      <c r="D8" s="191"/>
      <c r="E8" s="191"/>
      <c r="F8" s="191"/>
      <c r="G8" s="26"/>
    </row>
    <row r="9" spans="2:7" x14ac:dyDescent="0.2">
      <c r="B9" s="3" t="str">
        <f>'Cálculo básico'!A170</f>
        <v>Subsistência</v>
      </c>
      <c r="C9" s="191"/>
      <c r="D9" s="191"/>
      <c r="E9" s="191"/>
      <c r="F9" s="191"/>
      <c r="G9" s="26"/>
    </row>
    <row r="11" spans="2:7" x14ac:dyDescent="0.2">
      <c r="B11">
        <v>1</v>
      </c>
    </row>
    <row r="12" spans="2:7" ht="25.5" x14ac:dyDescent="0.2">
      <c r="B12" s="27" t="s">
        <v>141</v>
      </c>
      <c r="C12" s="94" t="s">
        <v>193</v>
      </c>
      <c r="D12" s="94" t="s">
        <v>194</v>
      </c>
      <c r="E12" s="94" t="s">
        <v>195</v>
      </c>
      <c r="F12" s="94" t="s">
        <v>196</v>
      </c>
    </row>
    <row r="13" spans="2:7" x14ac:dyDescent="0.2">
      <c r="B13" s="3"/>
      <c r="C13" s="95">
        <f>F6</f>
        <v>0</v>
      </c>
      <c r="D13" s="95">
        <f>F7</f>
        <v>0</v>
      </c>
      <c r="E13" s="95">
        <f>F8</f>
        <v>0</v>
      </c>
      <c r="F13" s="95">
        <f>F9</f>
        <v>0</v>
      </c>
    </row>
    <row r="14" spans="2:7" x14ac:dyDescent="0.2">
      <c r="B14" s="1">
        <v>0</v>
      </c>
      <c r="C14" s="24"/>
      <c r="D14" s="24"/>
      <c r="E14" s="24"/>
      <c r="F14" s="24"/>
    </row>
    <row r="15" spans="2:7" x14ac:dyDescent="0.2">
      <c r="B15" s="1">
        <f>B14+$B$11</f>
        <v>1</v>
      </c>
      <c r="C15" s="24"/>
      <c r="D15" s="24"/>
      <c r="E15" s="24"/>
      <c r="F15" s="24"/>
    </row>
    <row r="16" spans="2:7" x14ac:dyDescent="0.2">
      <c r="B16" s="1">
        <f t="shared" ref="B16:B19" si="0">B15+$B$11</f>
        <v>2</v>
      </c>
      <c r="C16" s="24"/>
      <c r="D16" s="24"/>
      <c r="E16" s="24"/>
      <c r="F16" s="24"/>
    </row>
    <row r="17" spans="2:6" x14ac:dyDescent="0.2">
      <c r="B17" s="1">
        <f t="shared" si="0"/>
        <v>3</v>
      </c>
      <c r="C17" s="24"/>
      <c r="D17" s="24"/>
      <c r="E17" s="24"/>
      <c r="F17" s="24"/>
    </row>
    <row r="18" spans="2:6" x14ac:dyDescent="0.2">
      <c r="B18" s="1">
        <f t="shared" si="0"/>
        <v>4</v>
      </c>
      <c r="C18" s="24"/>
      <c r="D18" s="24"/>
      <c r="E18" s="24"/>
      <c r="F18" s="24"/>
    </row>
    <row r="19" spans="2:6" x14ac:dyDescent="0.2">
      <c r="B19" s="1">
        <f t="shared" si="0"/>
        <v>5</v>
      </c>
      <c r="C19" s="24"/>
      <c r="D19" s="24"/>
      <c r="E19" s="24"/>
      <c r="F19" s="24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Dados individuais</vt:lpstr>
      <vt:lpstr>Rebanho</vt:lpstr>
      <vt:lpstr>Caracterização técnica</vt:lpstr>
      <vt:lpstr>Cálculo básico</vt:lpstr>
      <vt:lpstr>Modelos Globais</vt:lpstr>
      <vt:lpstr>Composição da renda</vt:lpstr>
      <vt:lpstr>VAB atividades</vt:lpstr>
      <vt:lpstr>'Cálculo básico'!Area_de_impressao</vt:lpstr>
    </vt:vector>
  </TitlesOfParts>
  <Company>UNIJUI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bsneto</dc:creator>
  <cp:lastModifiedBy>Benedito</cp:lastModifiedBy>
  <cp:lastPrinted>2016-04-07T17:43:15Z</cp:lastPrinted>
  <dcterms:created xsi:type="dcterms:W3CDTF">2008-01-04T17:25:09Z</dcterms:created>
  <dcterms:modified xsi:type="dcterms:W3CDTF">2018-12-05T21:03:48Z</dcterms:modified>
</cp:coreProperties>
</file>