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600" yWindow="-15" windowWidth="9630" windowHeight="8580" tabRatio="649"/>
  </bookViews>
  <sheets>
    <sheet name="Uso Fatores Prod." sheetId="3" r:id="rId1"/>
    <sheet name="Gr. Uso Fatores" sheetId="4" r:id="rId2"/>
    <sheet name="Cálculo" sheetId="1" r:id="rId3"/>
    <sheet name="Gráficos resultados globais" sheetId="5" r:id="rId4"/>
    <sheet name="Gráfico composição da renda" sheetId="6" r:id="rId5"/>
  </sheets>
  <definedNames>
    <definedName name="_xlnm._FilterDatabase" localSheetId="2" hidden="1">Cálculo!$A$1:$A$265</definedName>
  </definedNames>
  <calcPr calcId="145621"/>
</workbook>
</file>

<file path=xl/calcChain.xml><?xml version="1.0" encoding="utf-8"?>
<calcChain xmlns="http://schemas.openxmlformats.org/spreadsheetml/2006/main">
  <c r="D176" i="1" l="1"/>
  <c r="E176" i="1" s="1"/>
  <c r="D175" i="1"/>
  <c r="E175" i="1"/>
  <c r="H177" i="1" s="1"/>
  <c r="G47" i="3"/>
  <c r="D143" i="1"/>
  <c r="D144" i="1"/>
  <c r="D147" i="1"/>
  <c r="D169" i="1"/>
  <c r="C77" i="1"/>
  <c r="C89" i="1"/>
  <c r="C118" i="1"/>
  <c r="C127" i="1"/>
  <c r="D43" i="3"/>
  <c r="C103" i="1"/>
  <c r="G202" i="1"/>
  <c r="B251" i="1"/>
  <c r="B252" i="1"/>
  <c r="B249" i="1"/>
  <c r="B250" i="1"/>
  <c r="D65" i="1"/>
  <c r="D56" i="1"/>
  <c r="F147" i="1"/>
  <c r="E202" i="1"/>
  <c r="C5" i="3"/>
  <c r="C6" i="3" s="1"/>
  <c r="G5" i="3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F9" i="3"/>
  <c r="F10" i="3" s="1"/>
  <c r="F11" i="3" s="1"/>
  <c r="F8" i="3"/>
  <c r="E11" i="3"/>
  <c r="E12" i="3" s="1"/>
  <c r="E10" i="3"/>
  <c r="E9" i="3"/>
  <c r="D13" i="3"/>
  <c r="D14" i="3" s="1"/>
  <c r="D6" i="3"/>
  <c r="D7" i="3" s="1"/>
  <c r="D8" i="3" s="1"/>
  <c r="D9" i="3" s="1"/>
  <c r="H27" i="3"/>
  <c r="I27" i="3" s="1"/>
  <c r="H28" i="3"/>
  <c r="I28" i="3" s="1"/>
  <c r="H29" i="3"/>
  <c r="I29" i="3" s="1"/>
  <c r="H30" i="3"/>
  <c r="I30" i="3" s="1"/>
  <c r="H32" i="3"/>
  <c r="I32" i="3" s="1"/>
  <c r="H31" i="3"/>
  <c r="I31" i="3" s="1"/>
  <c r="H26" i="3"/>
  <c r="I26" i="3" s="1"/>
  <c r="D33" i="3"/>
  <c r="E33" i="3"/>
  <c r="F33" i="3"/>
  <c r="G33" i="3"/>
  <c r="C21" i="3"/>
  <c r="H21" i="3" s="1"/>
  <c r="E90" i="1"/>
  <c r="G192" i="1" l="1"/>
  <c r="F128" i="1"/>
  <c r="F39" i="3" s="1"/>
  <c r="F119" i="1"/>
  <c r="F65" i="1"/>
  <c r="C16" i="3"/>
  <c r="C15" i="3"/>
  <c r="E47" i="3"/>
  <c r="H47" i="3" s="1"/>
  <c r="G45" i="3"/>
  <c r="C14" i="3"/>
  <c r="F138" i="1"/>
  <c r="E56" i="1"/>
  <c r="E104" i="1"/>
  <c r="F105" i="1" s="1"/>
  <c r="D39" i="3"/>
  <c r="F46" i="3"/>
  <c r="E40" i="3"/>
  <c r="E49" i="3" s="1"/>
  <c r="G42" i="3"/>
  <c r="H42" i="3" s="1"/>
  <c r="G37" i="3"/>
  <c r="G38" i="3"/>
  <c r="H38" i="3" s="1"/>
  <c r="G41" i="3"/>
  <c r="G43" i="3"/>
  <c r="H43" i="3" s="1"/>
  <c r="G46" i="3"/>
  <c r="G40" i="3"/>
  <c r="G44" i="3"/>
  <c r="G39" i="3"/>
  <c r="F91" i="1"/>
  <c r="D15" i="3"/>
  <c r="D16" i="3" s="1"/>
  <c r="H16" i="3" s="1"/>
  <c r="I16" i="3" s="1"/>
  <c r="D5" i="3"/>
  <c r="H5" i="3" s="1"/>
  <c r="I5" i="3" s="1"/>
  <c r="G56" i="1"/>
  <c r="C41" i="3"/>
  <c r="C229" i="1"/>
  <c r="C8" i="3"/>
  <c r="C22" i="3"/>
  <c r="H6" i="3"/>
  <c r="I6" i="3" s="1"/>
  <c r="C25" i="3"/>
  <c r="H25" i="3" s="1"/>
  <c r="I25" i="3" s="1"/>
  <c r="C7" i="3"/>
  <c r="I21" i="3"/>
  <c r="H9" i="3"/>
  <c r="I9" i="3" s="1"/>
  <c r="D10" i="3"/>
  <c r="H10" i="3" s="1"/>
  <c r="I10" i="3" s="1"/>
  <c r="E13" i="3"/>
  <c r="H11" i="3"/>
  <c r="I11" i="3" s="1"/>
  <c r="F12" i="3"/>
  <c r="F13" i="3" s="1"/>
  <c r="H40" i="3" l="1"/>
  <c r="H39" i="3"/>
  <c r="G147" i="1"/>
  <c r="C45" i="3"/>
  <c r="H45" i="3" s="1"/>
  <c r="H46" i="3"/>
  <c r="E170" i="1"/>
  <c r="G48" i="3"/>
  <c r="D156" i="1"/>
  <c r="F49" i="3"/>
  <c r="D37" i="3"/>
  <c r="D44" i="3"/>
  <c r="H44" i="3" s="1"/>
  <c r="H41" i="3"/>
  <c r="D221" i="1"/>
  <c r="D254" i="1"/>
  <c r="H7" i="3"/>
  <c r="I7" i="3" s="1"/>
  <c r="C23" i="3"/>
  <c r="H23" i="3" s="1"/>
  <c r="I23" i="3" s="1"/>
  <c r="H8" i="3"/>
  <c r="I8" i="3" s="1"/>
  <c r="C24" i="3"/>
  <c r="H24" i="3" s="1"/>
  <c r="I24" i="3" s="1"/>
  <c r="E14" i="3"/>
  <c r="H14" i="3" s="1"/>
  <c r="I14" i="3" s="1"/>
  <c r="E15" i="3"/>
  <c r="H15" i="3" s="1"/>
  <c r="I15" i="3" s="1"/>
  <c r="H13" i="3"/>
  <c r="I13" i="3" s="1"/>
  <c r="C33" i="3"/>
  <c r="H22" i="3"/>
  <c r="H12" i="3"/>
  <c r="I12" i="3" s="1"/>
  <c r="C156" i="1" l="1"/>
  <c r="E156" i="1" s="1"/>
  <c r="C49" i="3"/>
  <c r="H48" i="3"/>
  <c r="G49" i="3"/>
  <c r="D49" i="3"/>
  <c r="H37" i="3"/>
  <c r="D229" i="1"/>
  <c r="I22" i="3"/>
  <c r="I33" i="3" s="1"/>
  <c r="H33" i="3"/>
  <c r="F221" i="1" l="1"/>
  <c r="E229" i="1"/>
  <c r="E221" i="1"/>
  <c r="C244" i="1" l="1"/>
  <c r="G244" i="1"/>
  <c r="F254" i="1"/>
</calcChain>
</file>

<file path=xl/sharedStrings.xml><?xml version="1.0" encoding="utf-8"?>
<sst xmlns="http://schemas.openxmlformats.org/spreadsheetml/2006/main" count="701" uniqueCount="300">
  <si>
    <t>A - Caracterização do Sistema de Produção</t>
  </si>
  <si>
    <t>Unidades de Trabalho Familiar</t>
  </si>
  <si>
    <t>Unidades de Trabalho Contratada</t>
  </si>
  <si>
    <t>Instalações Principais</t>
  </si>
  <si>
    <t>Culturas Permanentes</t>
  </si>
  <si>
    <t>Tipo (denominação)</t>
  </si>
  <si>
    <t>Localização</t>
  </si>
  <si>
    <t>Superfície Própria (Ha)</t>
  </si>
  <si>
    <t>Superfície Arrendada (Ha)</t>
  </si>
  <si>
    <t>Superfície Total (Ha)</t>
  </si>
  <si>
    <t>Tipo</t>
  </si>
  <si>
    <t>Tamanho</t>
  </si>
  <si>
    <t>Máquinas e Equipamentos</t>
  </si>
  <si>
    <t>Tipo e Características</t>
  </si>
  <si>
    <t>Rendtº</t>
  </si>
  <si>
    <t>Produções no Verão</t>
  </si>
  <si>
    <t>Produções no Inverno</t>
  </si>
  <si>
    <t>Culturas</t>
  </si>
  <si>
    <t>(atividades, área, rendimento)</t>
  </si>
  <si>
    <t>160 m2</t>
  </si>
  <si>
    <t>Soja</t>
  </si>
  <si>
    <t>Subsistência</t>
  </si>
  <si>
    <t>B - Cálculo dos Resultados Econômicos dos Sistemas de Produção</t>
  </si>
  <si>
    <t>1- Cálculo do Produto Bruto (PB)</t>
  </si>
  <si>
    <t>1.1 - Produto Bruto das Atividades para o Comércio</t>
  </si>
  <si>
    <t xml:space="preserve">Atividades </t>
  </si>
  <si>
    <t>Preço Normal</t>
  </si>
  <si>
    <t>Valor Total</t>
  </si>
  <si>
    <t>TOTAL</t>
  </si>
  <si>
    <t>1.2 - Produto Bruto das Atividades Para a Subsistência</t>
  </si>
  <si>
    <t>SOJA</t>
  </si>
  <si>
    <t>Preço</t>
  </si>
  <si>
    <t>Prod Consumo</t>
  </si>
  <si>
    <t>CARNE GADO</t>
  </si>
  <si>
    <t>GALINHA</t>
  </si>
  <si>
    <t>OVOS</t>
  </si>
  <si>
    <t>LEITE</t>
  </si>
  <si>
    <t>1.3 - Total do Produto Bruto</t>
  </si>
  <si>
    <t>PB das Atividades Comerciais</t>
  </si>
  <si>
    <t>PB da Subsistência</t>
  </si>
  <si>
    <t>Unidade</t>
  </si>
  <si>
    <t>Kg</t>
  </si>
  <si>
    <t>Dz</t>
  </si>
  <si>
    <t>Lt</t>
  </si>
  <si>
    <t>2 - Cálculo do Consumo Intermediário</t>
  </si>
  <si>
    <t>Quantidade</t>
  </si>
  <si>
    <t>Itens (Insumos)</t>
  </si>
  <si>
    <t>SC</t>
  </si>
  <si>
    <t>LT</t>
  </si>
  <si>
    <t>Dessecante</t>
  </si>
  <si>
    <t>Semente</t>
  </si>
  <si>
    <t>2.1-Atividade 1</t>
  </si>
  <si>
    <t>PB</t>
  </si>
  <si>
    <t>2.2-Atividade 2</t>
  </si>
  <si>
    <t>Adubo 8-18-28</t>
  </si>
  <si>
    <t>Uréia</t>
  </si>
  <si>
    <t>2.3-Atividade 3</t>
  </si>
  <si>
    <t>Itens</t>
  </si>
  <si>
    <t>Distribuição dos Gastos</t>
  </si>
  <si>
    <t>Valor</t>
  </si>
  <si>
    <t>Critério (%)</t>
  </si>
  <si>
    <t>Lubrificantes</t>
  </si>
  <si>
    <t>Graxa</t>
  </si>
  <si>
    <t>Energia</t>
  </si>
  <si>
    <t>Atividades</t>
  </si>
  <si>
    <t>CI</t>
  </si>
  <si>
    <t>Rateio Gastos</t>
  </si>
  <si>
    <t>Total CI</t>
  </si>
  <si>
    <t>3- OUTROS GASTOS (DISTRIBUIÇÃO DO VALOR AGREGADO)</t>
  </si>
  <si>
    <t>ITENS</t>
  </si>
  <si>
    <t>VALOR</t>
  </si>
  <si>
    <t>ITR</t>
  </si>
  <si>
    <t>Funrural Soja</t>
  </si>
  <si>
    <t>Cota Capital Soja</t>
  </si>
  <si>
    <t>4- CÁLCULO DA DEPRECIAÇÃO (D)</t>
  </si>
  <si>
    <t>4.1-DEPRECIAÇÃO DAS INSTALAÇÕES</t>
  </si>
  <si>
    <t>Valor m2</t>
  </si>
  <si>
    <t xml:space="preserve">Duração </t>
  </si>
  <si>
    <t>Depreciação</t>
  </si>
  <si>
    <t>Área (m2)</t>
  </si>
  <si>
    <t>Galpão Madeira</t>
  </si>
  <si>
    <t>4.2-DEPRECIAÇÃO DAS MÁQUINAS E EQUIPAMENTOS</t>
  </si>
  <si>
    <t>4.3-TOTAL DAS DEPRECIAÇÕES</t>
  </si>
  <si>
    <t>Depreciação das Instalações</t>
  </si>
  <si>
    <t>Depreciação das Máquinas e Equipamentos</t>
  </si>
  <si>
    <t>5- RESULTADOS ECONÔMICOS DO SISTEMA DE PRODUÇÃO</t>
  </si>
  <si>
    <t>5.1- QUADRO SÍNTESE DOS RESULTADOS ECONÔMICOS GLOBAIS</t>
  </si>
  <si>
    <t>Produto Bruto</t>
  </si>
  <si>
    <t>Consumo Intermediário</t>
  </si>
  <si>
    <t>Valor Agregado Bruto</t>
  </si>
  <si>
    <t>Depreciação Total</t>
  </si>
  <si>
    <t>Distribuição do Valor Agregado</t>
  </si>
  <si>
    <t>Renda Agrícola</t>
  </si>
  <si>
    <t>Produtividade do Trabalho</t>
  </si>
  <si>
    <t>UTF:</t>
  </si>
  <si>
    <t>UTC:</t>
  </si>
  <si>
    <t>xxxxxxxxxx</t>
  </si>
  <si>
    <t>5.2- QUADRO SÍNTESE DOS RESULTADOS ECONÔMICOS POR ATIVIDADES</t>
  </si>
  <si>
    <t>SUBSISTEMAS</t>
  </si>
  <si>
    <t>VAB Total</t>
  </si>
  <si>
    <t>ATIVIDADES</t>
  </si>
  <si>
    <t>5.3- QUADRO SÍNTESE DOS RESULTADOS ECONÔMICOS POR SUBSISTEMAS</t>
  </si>
  <si>
    <t>Y= ax - b</t>
  </si>
  <si>
    <t>x= S A U / UTF</t>
  </si>
  <si>
    <t>NRS</t>
  </si>
  <si>
    <t>S A U / UTF (x)</t>
  </si>
  <si>
    <t>Total</t>
  </si>
  <si>
    <t>y = ax-b</t>
  </si>
  <si>
    <t>Superfície Agrícola Útil (Ha)</t>
  </si>
  <si>
    <t>Unidade de Produção Patronal</t>
  </si>
  <si>
    <t>Ijuí - RS</t>
  </si>
  <si>
    <t>Galpão Alvenaria</t>
  </si>
  <si>
    <t>Trator Ford 6600</t>
  </si>
  <si>
    <t>Trator Valmet 118</t>
  </si>
  <si>
    <t>Semeadeira Imasa MP 2000</t>
  </si>
  <si>
    <t>Pulverizador Jacto 800 lt</t>
  </si>
  <si>
    <t xml:space="preserve">Plantadeira Planti Center 9 linhas </t>
  </si>
  <si>
    <t>Colheitadeira John Deere 6200</t>
  </si>
  <si>
    <t>Milho</t>
  </si>
  <si>
    <t>Trigo</t>
  </si>
  <si>
    <t>Caminhão Mercedes 1113</t>
  </si>
  <si>
    <t>Aveia Preta</t>
  </si>
  <si>
    <t>MILHO</t>
  </si>
  <si>
    <t>TRIGO</t>
  </si>
  <si>
    <t>AVEIA</t>
  </si>
  <si>
    <t>Produção Total (sc)</t>
  </si>
  <si>
    <t>Milho Safrinha</t>
  </si>
  <si>
    <t>MANDIOCA</t>
  </si>
  <si>
    <t>Mo14% Co1,4%</t>
  </si>
  <si>
    <t>KG</t>
  </si>
  <si>
    <t>Inset. Dimilin</t>
  </si>
  <si>
    <t>Inset. Agrophós</t>
  </si>
  <si>
    <t>Fung. Ópera</t>
  </si>
  <si>
    <t>Ca 10% Bo 1%</t>
  </si>
  <si>
    <t>Espalhante Ades.</t>
  </si>
  <si>
    <t>Diesel</t>
  </si>
  <si>
    <t>Adubo 02-20-30</t>
  </si>
  <si>
    <t>Inset. Standak</t>
  </si>
  <si>
    <t>Inoculante</t>
  </si>
  <si>
    <t>DS</t>
  </si>
  <si>
    <t>Óleo Mineral</t>
  </si>
  <si>
    <t>Adubo 08-18-28</t>
  </si>
  <si>
    <t>Inset. Semevin</t>
  </si>
  <si>
    <t>Herbic. Primatop</t>
  </si>
  <si>
    <t>Inset. Lorsban</t>
  </si>
  <si>
    <t>Fungic. Baytan</t>
  </si>
  <si>
    <t>Inset. Gaucho</t>
  </si>
  <si>
    <t>Fungic. Folicur</t>
  </si>
  <si>
    <t>Adubo 05-20-20</t>
  </si>
  <si>
    <t>Colheita</t>
  </si>
  <si>
    <t>Herb. Ally</t>
  </si>
  <si>
    <t>Herb. Iloxan</t>
  </si>
  <si>
    <t>Fung. Folicur</t>
  </si>
  <si>
    <t>2.4-Atividade 4</t>
  </si>
  <si>
    <t>Aveia</t>
  </si>
  <si>
    <t>Funrural Milho</t>
  </si>
  <si>
    <t>Funrural Trigo</t>
  </si>
  <si>
    <t>Funrural Aveia</t>
  </si>
  <si>
    <t>Cota Capital Milho</t>
  </si>
  <si>
    <t>Cota Capital Trigo</t>
  </si>
  <si>
    <t>Cota Capital Aveia</t>
  </si>
  <si>
    <t>Maq. Tratar Semente Grazmec</t>
  </si>
  <si>
    <t>Caminhão Mercedes 1113 ano 80</t>
  </si>
  <si>
    <t>Máq. Classificar Sementes</t>
  </si>
  <si>
    <t>Espalhador Ureía - Lancer</t>
  </si>
  <si>
    <t>Fung. Derosal Plus</t>
  </si>
  <si>
    <t>Consertos Gerais</t>
  </si>
  <si>
    <t>500 m2</t>
  </si>
  <si>
    <t>Royaltes Soja T.</t>
  </si>
  <si>
    <t>R$</t>
  </si>
  <si>
    <t>SUBSIST.</t>
  </si>
  <si>
    <t>Sc</t>
  </si>
  <si>
    <t>2.5-Atividade 5</t>
  </si>
  <si>
    <t>Ração p/ Aves</t>
  </si>
  <si>
    <t>Sal Comum</t>
  </si>
  <si>
    <t>Concentrado</t>
  </si>
  <si>
    <t>2.6-GASTOS GERAIS</t>
  </si>
  <si>
    <t>2.7-TOTAL DO VALOR DO CONSUMO INTERMEDIÁRIO</t>
  </si>
  <si>
    <t>Calcário</t>
  </si>
  <si>
    <t>TON.</t>
  </si>
  <si>
    <t>50 kg</t>
  </si>
  <si>
    <t>40 lt</t>
  </si>
  <si>
    <t>Mão-Obra Fixa</t>
  </si>
  <si>
    <t>S A U disp.:</t>
  </si>
  <si>
    <t>Meses / Atividades</t>
  </si>
  <si>
    <t>Soja (Ha)</t>
  </si>
  <si>
    <t>Subsist. (Ha)</t>
  </si>
  <si>
    <t>SALDO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</si>
  <si>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</si>
  <si>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</si>
  <si>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</si>
  <si>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</si>
  <si>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</si>
  <si>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</si>
  <si>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</si>
  <si>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</si>
  <si>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</si>
  <si>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</si>
  <si>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</si>
  <si>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</si>
  <si>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M. Obra (hs)</t>
  </si>
  <si>
    <t>Soja (hs)</t>
  </si>
  <si>
    <t>Subsist. (hs)</t>
  </si>
  <si>
    <t xml:space="preserve">Milho (Ha) </t>
  </si>
  <si>
    <t>Trigo (Há)</t>
  </si>
  <si>
    <t>Aveia (Há)</t>
  </si>
  <si>
    <t>Milho (hs)</t>
  </si>
  <si>
    <t>Trigo (hs)</t>
  </si>
  <si>
    <t>Aveia (hs)</t>
  </si>
  <si>
    <t xml:space="preserve">Sem.Milho </t>
  </si>
  <si>
    <t xml:space="preserve">Veículo utilitário </t>
  </si>
  <si>
    <t>MILHO SAFR.</t>
  </si>
  <si>
    <t>b=(dep n p. + dva n p.)/ UTF</t>
  </si>
  <si>
    <t>Sub-sistemas</t>
  </si>
  <si>
    <t xml:space="preserve">Soja </t>
  </si>
  <si>
    <t xml:space="preserve">Milho </t>
  </si>
  <si>
    <t xml:space="preserve">Trigo </t>
  </si>
  <si>
    <t xml:space="preserve">Aveia </t>
  </si>
  <si>
    <t xml:space="preserve">Subsist. </t>
  </si>
  <si>
    <t>Soja/Trigo</t>
  </si>
  <si>
    <t>Soja/Aveia</t>
  </si>
  <si>
    <t>Milho/Milho</t>
  </si>
  <si>
    <t>x = SAU/UTf</t>
  </si>
  <si>
    <t>a = RA marg</t>
  </si>
  <si>
    <t>Saldo</t>
  </si>
  <si>
    <t>Acumulado</t>
  </si>
  <si>
    <t>S A U / UTF</t>
  </si>
  <si>
    <t>Área (ha)</t>
  </si>
  <si>
    <t>35 sc/ha</t>
  </si>
  <si>
    <t>70 sc/ha</t>
  </si>
  <si>
    <t>33 sc/ha</t>
  </si>
  <si>
    <t>22 sc/ha</t>
  </si>
  <si>
    <t>Rend. (sc/ha)</t>
  </si>
  <si>
    <t>Área (ha): 150</t>
  </si>
  <si>
    <t>Área (ha): 36</t>
  </si>
  <si>
    <t>Área (ha): 100</t>
  </si>
  <si>
    <t>Área (ha): 50</t>
  </si>
  <si>
    <t xml:space="preserve">Área (ha): </t>
  </si>
  <si>
    <t>S A U (ha):</t>
  </si>
  <si>
    <t>ÁREA (ha)</t>
  </si>
  <si>
    <t>VAB / ha</t>
  </si>
  <si>
    <t>RA/UTF</t>
  </si>
  <si>
    <t>Valor Residual</t>
  </si>
  <si>
    <t>6.2- MODELO DA COMPOSIÇÃO DA RENDA</t>
  </si>
  <si>
    <t>CI Soja</t>
  </si>
  <si>
    <t>CI Milho</t>
  </si>
  <si>
    <t>CI Trigo</t>
  </si>
  <si>
    <t>CI Aveia</t>
  </si>
  <si>
    <t>CI Subs</t>
  </si>
  <si>
    <t>CI Total</t>
  </si>
  <si>
    <t>G Gerais</t>
  </si>
  <si>
    <t>DVA</t>
  </si>
  <si>
    <t>Características Gerais</t>
  </si>
  <si>
    <t>Máquinas e equipamentos</t>
  </si>
  <si>
    <t>Produções</t>
  </si>
  <si>
    <t>Produção Bruta comercializada</t>
  </si>
  <si>
    <t>Produção Bruta subsistência</t>
  </si>
  <si>
    <t>Produção Bruta Total</t>
  </si>
  <si>
    <t>Depreciação Instalações</t>
  </si>
  <si>
    <t>Depreciação Maq e Eq</t>
  </si>
  <si>
    <t>Quadro Síntese</t>
  </si>
  <si>
    <t>Síntese Atividades</t>
  </si>
  <si>
    <t>Síntese Subsistemas</t>
  </si>
  <si>
    <t>Modelo Renda Global</t>
  </si>
  <si>
    <t>Tabela Renda Global</t>
  </si>
  <si>
    <t>Tabela Composição Renda</t>
  </si>
  <si>
    <t>Modelo Composição Renda</t>
  </si>
  <si>
    <t>Enunciado</t>
  </si>
  <si>
    <t>FILTRO</t>
  </si>
  <si>
    <t>CARACTERIZAÇÃO TÉCNICA DO SISTEMA DE PRODUÇÃO</t>
  </si>
  <si>
    <t>CALENDÁRIO DE USO DA ÁREA</t>
  </si>
  <si>
    <t>CALENDÁRIO DE USO DA MÃO-DE-OBRA</t>
  </si>
  <si>
    <t>CALENDÁRIO DO FLUXO DE CAPITAL CIRCULANTE</t>
  </si>
  <si>
    <t>CÁLCULO ECONÔMICO E MODELAGEM DO SISTEMA DE PRODUÇÃO</t>
  </si>
  <si>
    <t>% PB</t>
  </si>
  <si>
    <t>Valor Agregado</t>
  </si>
  <si>
    <t>Remuneração do Trabalho Familiar</t>
  </si>
  <si>
    <t>a= (pb-ci-depp-dvap)/S A U</t>
  </si>
  <si>
    <t>Rebanho</t>
  </si>
  <si>
    <t>Espécie</t>
  </si>
  <si>
    <t>Cabeças</t>
  </si>
  <si>
    <t>Produção</t>
  </si>
  <si>
    <t>Bovina</t>
  </si>
  <si>
    <t>1 cab/ano</t>
  </si>
  <si>
    <t xml:space="preserve"> / ha</t>
  </si>
  <si>
    <t>6- MODELOS LINEARES</t>
  </si>
  <si>
    <t>6.2- MODELO GLOBAL DA RA</t>
  </si>
  <si>
    <t>6.2- MODELO GLOBAL DO VA</t>
  </si>
  <si>
    <t>a= (pb-ci-depp)/S A U</t>
  </si>
  <si>
    <t>x= S A U / UT</t>
  </si>
  <si>
    <t>b=(dep n p.)/ UT</t>
  </si>
  <si>
    <t>S A U / UT (x)</t>
  </si>
  <si>
    <t>VA/UT</t>
  </si>
  <si>
    <t xml:space="preserve"> %sc soja * area total</t>
  </si>
  <si>
    <t xml:space="preserve"> (proporcional)</t>
  </si>
  <si>
    <t>b = (dep np+dva np) / UTF</t>
  </si>
  <si>
    <t>Subsistência a=</t>
  </si>
  <si>
    <t>Soja/Trigo a=</t>
  </si>
  <si>
    <t>Soja/Aveia a=</t>
  </si>
  <si>
    <t>Milho/Milho a=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</si>
</sst>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0_);[Red]\(0.00\)"/>
  </numFmts>
  <fonts count="8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Border="1"/>
    <xf numFmtId="0" fontId="3" fillId="0" borderId="0" xfId="0" applyFont="1" applyAlignment="1">
      <alignment horizontal="center"/>
    </xf>
    <xf numFmtId="0" fontId="2" fillId="0" borderId="4" xfId="0" applyFont="1" applyBorder="1"/>
    <xf numFmtId="0" fontId="3" fillId="0" borderId="6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4" xfId="0" applyFont="1" applyBorder="1"/>
    <xf numFmtId="165" fontId="2" fillId="0" borderId="2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3" fillId="0" borderId="0" xfId="0" applyNumberFormat="1" applyFont="1" applyAlignment="1">
      <alignment horizontal="left"/>
    </xf>
    <xf numFmtId="2" fontId="3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2" fontId="2" fillId="0" borderId="0" xfId="1" applyNumberFormat="1" applyFont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left"/>
    </xf>
    <xf numFmtId="2" fontId="3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2" fontId="2" fillId="0" borderId="4" xfId="0" applyNumberFormat="1" applyFont="1" applyBorder="1" applyAlignment="1">
      <alignment horizontal="left"/>
    </xf>
    <xf numFmtId="2" fontId="2" fillId="0" borderId="5" xfId="0" applyNumberFormat="1" applyFont="1" applyBorder="1" applyAlignment="1">
      <alignment horizontal="left"/>
    </xf>
    <xf numFmtId="2" fontId="2" fillId="2" borderId="1" xfId="1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9" fontId="2" fillId="0" borderId="1" xfId="2" applyFont="1" applyBorder="1" applyAlignment="1">
      <alignment horizontal="center"/>
    </xf>
    <xf numFmtId="9" fontId="3" fillId="0" borderId="1" xfId="2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9" fontId="2" fillId="2" borderId="1" xfId="2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2" fontId="6" fillId="3" borderId="0" xfId="0" applyNumberFormat="1" applyFont="1" applyFill="1" applyAlignment="1">
      <alignment horizontal="center" vertical="center"/>
    </xf>
    <xf numFmtId="2" fontId="3" fillId="3" borderId="1" xfId="0" applyNumberFormat="1" applyFont="1" applyFill="1" applyBorder="1" applyAlignment="1">
      <alignment horizontal="left" vertic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2" fillId="0" borderId="6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/>
    </xf>
    <xf numFmtId="2" fontId="3" fillId="0" borderId="6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3" fillId="0" borderId="7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left"/>
    </xf>
    <xf numFmtId="2" fontId="3" fillId="0" borderId="6" xfId="0" applyNumberFormat="1" applyFont="1" applyBorder="1" applyAlignment="1">
      <alignment horizontal="left"/>
    </xf>
    <xf numFmtId="2" fontId="3" fillId="0" borderId="12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left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'Uso Fatores Prod.'!$B$4</c:f>
              <c:strCache>
                <c:ptCount val="1"/>
              </c:strCache>
            </c:strRef>
          </c:tx>
          <c:invertIfNegative val="0"/>
          <c:cat>
            <c:strRef>
              <c:f>'Uso Fatores Prod.'!$A$5:$A$16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'Uso Fatores Prod.'!$B$5:$B$16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'Uso Fatores Prod.'!$C$4</c:f>
              <c:strCache>
                <c:ptCount val="1"/>
                <c:pt idx="0">
                  <c:v>Soja (Ha)</c:v>
                </c:pt>
              </c:strCache>
            </c:strRef>
          </c:tx>
          <c:invertIfNegative val="0"/>
          <c:cat>
            <c:strRef>
              <c:f>'Uso Fatores Prod.'!$A$5:$A$16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'Uso Fatores Prod.'!$C$5:$C$16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'Uso Fatores Prod.'!$D$4</c:f>
              <c:strCache>
                <c:ptCount val="1"/>
                <c:pt idx="0">
                  <c:v>Milho (Ha) </c:v>
                </c:pt>
              </c:strCache>
            </c:strRef>
          </c:tx>
          <c:invertIfNegative val="0"/>
          <c:cat>
            <c:strRef>
              <c:f>'Uso Fatores Prod.'!$A$5:$A$16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'Uso Fatores Prod.'!$D$5:$D$16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'Uso Fatores Prod.'!$E$4</c:f>
              <c:strCache>
                <c:ptCount val="1"/>
                <c:pt idx="0">
                  <c:v>Trigo (Há)</c:v>
                </c:pt>
              </c:strCache>
            </c:strRef>
          </c:tx>
          <c:invertIfNegative val="0"/>
          <c:cat>
            <c:strRef>
              <c:f>'Uso Fatores Prod.'!$A$5:$A$16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'Uso Fatores Prod.'!$E$5:$E$16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'Uso Fatores Prod.'!$F$4</c:f>
              <c:strCache>
                <c:ptCount val="1"/>
                <c:pt idx="0">
                  <c:v>Aveia (Há)</c:v>
                </c:pt>
              </c:strCache>
            </c:strRef>
          </c:tx>
          <c:invertIfNegative val="0"/>
          <c:cat>
            <c:strRef>
              <c:f>'Uso Fatores Prod.'!$A$5:$A$16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'Uso Fatores Prod.'!$F$5:$F$16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'Uso Fatores Prod.'!$G$4</c:f>
              <c:strCache>
                <c:ptCount val="1"/>
                <c:pt idx="0">
                  <c:v>Subsist. (Ha)</c:v>
                </c:pt>
              </c:strCache>
            </c:strRef>
          </c:tx>
          <c:invertIfNegative val="0"/>
          <c:cat>
            <c:strRef>
              <c:f>'Uso Fatores Prod.'!$A$5:$A$16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'Uso Fatores Prod.'!$G$5:$G$16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936640"/>
        <c:axId val="133938176"/>
      </c:barChart>
      <c:catAx>
        <c:axId val="133936640"/>
        <c:scaling>
          <c:orientation val="minMax"/>
        </c:scaling>
        <c:delete val="0"/>
        <c:axPos val="b"/>
        <c:majorTickMark val="out"/>
        <c:minorTickMark val="none"/>
        <c:tickLblPos val="nextTo"/>
        <c:crossAx val="133938176"/>
        <c:crosses val="autoZero"/>
        <c:auto val="1"/>
        <c:lblAlgn val="ctr"/>
        <c:lblOffset val="100"/>
        <c:noMultiLvlLbl val="0"/>
      </c:catAx>
      <c:valAx>
        <c:axId val="133938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936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Cálculo!$G$241</c:f>
              <c:strCache>
                <c:ptCount val="1"/>
                <c:pt idx="0">
                  <c:v>RA/UTF</c:v>
                </c:pt>
              </c:strCache>
            </c:strRef>
          </c:tx>
          <c:marker>
            <c:symbol val="none"/>
          </c:marker>
          <c:xVal>
            <c:numRef>
              <c:f>Cálculo!$F$242:$F$243</c:f>
              <c:numCache>
                <c:formatCode>0.00</c:formatCode>
                <c:ptCount val="2"/>
              </c:numCache>
            </c:numRef>
          </c:xVal>
          <c:yVal>
            <c:numRef>
              <c:f>Cálculo!$G$242:$G$243</c:f>
              <c:numCache>
                <c:formatCode>0.00</c:formatCode>
                <c:ptCount val="2"/>
              </c:numCache>
            </c:numRef>
          </c:yVal>
          <c:smooth val="0"/>
        </c:ser>
        <c:ser>
          <c:idx val="1"/>
          <c:order val="1"/>
          <c:tx>
            <c:strRef>
              <c:f>Cálculo!$H$241</c:f>
              <c:strCache>
                <c:ptCount val="1"/>
                <c:pt idx="0">
                  <c:v>NRS</c:v>
                </c:pt>
              </c:strCache>
            </c:strRef>
          </c:tx>
          <c:marker>
            <c:symbol val="none"/>
          </c:marker>
          <c:xVal>
            <c:numRef>
              <c:f>Cálculo!$F$242:$F$243</c:f>
              <c:numCache>
                <c:formatCode>0.00</c:formatCode>
                <c:ptCount val="2"/>
              </c:numCache>
            </c:numRef>
          </c:xVal>
          <c:yVal>
            <c:numRef>
              <c:f>Cálculo!$H$242:$H$243</c:f>
              <c:numCache>
                <c:formatCode>0.00</c:formatCode>
                <c:ptCount val="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941504"/>
        <c:axId val="133992448"/>
      </c:scatterChart>
      <c:valAx>
        <c:axId val="13394150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33992448"/>
        <c:crosses val="autoZero"/>
        <c:crossBetween val="midCat"/>
      </c:valAx>
      <c:valAx>
        <c:axId val="1339924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9415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Cálculo!$C$257</c:f>
              <c:strCache>
                <c:ptCount val="1"/>
                <c:pt idx="0">
                  <c:v>Subsistência a=</c:v>
                </c:pt>
              </c:strCache>
            </c:strRef>
          </c:tx>
          <c:xVal>
            <c:numRef>
              <c:f>Cálculo!$B$258:$B$265</c:f>
              <c:numCache>
                <c:formatCode>0.00</c:formatCode>
                <c:ptCount val="8"/>
              </c:numCache>
            </c:numRef>
          </c:xVal>
          <c:yVal>
            <c:numRef>
              <c:f>Cálculo!$C$258:$C$265</c:f>
              <c:numCache>
                <c:formatCode>0.00</c:formatCode>
                <c:ptCount val="8"/>
              </c:numCache>
            </c:numRef>
          </c:yVal>
          <c:smooth val="0"/>
        </c:ser>
        <c:ser>
          <c:idx val="1"/>
          <c:order val="1"/>
          <c:tx>
            <c:strRef>
              <c:f>Cálculo!$D$257</c:f>
              <c:strCache>
                <c:ptCount val="1"/>
                <c:pt idx="0">
                  <c:v>Soja/Trigo a=</c:v>
                </c:pt>
              </c:strCache>
            </c:strRef>
          </c:tx>
          <c:xVal>
            <c:numRef>
              <c:f>Cálculo!$B$258:$B$265</c:f>
              <c:numCache>
                <c:formatCode>0.00</c:formatCode>
                <c:ptCount val="8"/>
              </c:numCache>
            </c:numRef>
          </c:xVal>
          <c:yVal>
            <c:numRef>
              <c:f>Cálculo!$D$258:$D$265</c:f>
              <c:numCache>
                <c:formatCode>0.00</c:formatCode>
                <c:ptCount val="8"/>
              </c:numCache>
            </c:numRef>
          </c:yVal>
          <c:smooth val="0"/>
        </c:ser>
        <c:ser>
          <c:idx val="2"/>
          <c:order val="2"/>
          <c:tx>
            <c:strRef>
              <c:f>Cálculo!$E$257</c:f>
              <c:strCache>
                <c:ptCount val="1"/>
                <c:pt idx="0">
                  <c:v>Soja/Aveia a=</c:v>
                </c:pt>
              </c:strCache>
            </c:strRef>
          </c:tx>
          <c:xVal>
            <c:numRef>
              <c:f>Cálculo!$B$258:$B$265</c:f>
              <c:numCache>
                <c:formatCode>0.00</c:formatCode>
                <c:ptCount val="8"/>
              </c:numCache>
            </c:numRef>
          </c:xVal>
          <c:yVal>
            <c:numRef>
              <c:f>Cálculo!$E$258:$E$265</c:f>
              <c:numCache>
                <c:formatCode>0.00</c:formatCode>
                <c:ptCount val="8"/>
              </c:numCache>
            </c:numRef>
          </c:yVal>
          <c:smooth val="0"/>
        </c:ser>
        <c:ser>
          <c:idx val="3"/>
          <c:order val="3"/>
          <c:tx>
            <c:strRef>
              <c:f>Cálculo!$F$257</c:f>
              <c:strCache>
                <c:ptCount val="1"/>
                <c:pt idx="0">
                  <c:v>Milho/Milho a=</c:v>
                </c:pt>
              </c:strCache>
            </c:strRef>
          </c:tx>
          <c:xVal>
            <c:numRef>
              <c:f>Cálculo!$B$258:$B$265</c:f>
              <c:numCache>
                <c:formatCode>0.00</c:formatCode>
                <c:ptCount val="8"/>
              </c:numCache>
            </c:numRef>
          </c:xVal>
          <c:yVal>
            <c:numRef>
              <c:f>Cálculo!$F$258:$F$265</c:f>
              <c:numCache>
                <c:formatCode>0.00</c:formatCode>
                <c:ptCount val="8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019328"/>
        <c:axId val="134688768"/>
      </c:scatterChart>
      <c:valAx>
        <c:axId val="13401932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34688768"/>
        <c:crosses val="autoZero"/>
        <c:crossBetween val="midCat"/>
      </c:valAx>
      <c:valAx>
        <c:axId val="1346887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01932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'Uso Fatores Prod.'!$B$20</c:f>
              <c:strCache>
                <c:ptCount val="1"/>
              </c:strCache>
            </c:strRef>
          </c:tx>
          <c:invertIfNegative val="0"/>
          <c:cat>
            <c:strRef>
              <c:f>'Uso Fatores Prod.'!$A$21:$A$32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'Uso Fatores Prod.'!$B$21:$B$32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'Uso Fatores Prod.'!$C$20</c:f>
              <c:strCache>
                <c:ptCount val="1"/>
                <c:pt idx="0">
                  <c:v>Soja (hs)</c:v>
                </c:pt>
              </c:strCache>
            </c:strRef>
          </c:tx>
          <c:invertIfNegative val="0"/>
          <c:cat>
            <c:strRef>
              <c:f>'Uso Fatores Prod.'!$A$21:$A$32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'Uso Fatores Prod.'!$C$21:$C$32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200</c:v>
                </c:pt>
                <c:pt idx="10">
                  <c:v>450</c:v>
                </c:pt>
                <c:pt idx="11">
                  <c:v>400</c:v>
                </c:pt>
              </c:numCache>
            </c:numRef>
          </c:val>
        </c:ser>
        <c:ser>
          <c:idx val="2"/>
          <c:order val="2"/>
          <c:tx>
            <c:strRef>
              <c:f>'Uso Fatores Prod.'!$D$20</c:f>
              <c:strCache>
                <c:ptCount val="1"/>
                <c:pt idx="0">
                  <c:v>Milho (hs)</c:v>
                </c:pt>
              </c:strCache>
            </c:strRef>
          </c:tx>
          <c:invertIfNegative val="0"/>
          <c:cat>
            <c:strRef>
              <c:f>'Uso Fatores Prod.'!$A$21:$A$32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'Uso Fatores Prod.'!$D$21:$D$32</c:f>
              <c:numCache>
                <c:formatCode>General</c:formatCode>
                <c:ptCount val="12"/>
                <c:pt idx="0">
                  <c:v>150</c:v>
                </c:pt>
                <c:pt idx="1">
                  <c:v>80</c:v>
                </c:pt>
                <c:pt idx="2">
                  <c:v>60</c:v>
                </c:pt>
                <c:pt idx="3">
                  <c:v>30</c:v>
                </c:pt>
                <c:pt idx="4">
                  <c:v>30</c:v>
                </c:pt>
                <c:pt idx="5">
                  <c:v>120</c:v>
                </c:pt>
                <c:pt idx="6">
                  <c:v>0</c:v>
                </c:pt>
                <c:pt idx="7">
                  <c:v>0</c:v>
                </c:pt>
                <c:pt idx="8">
                  <c:v>120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</c:numCache>
            </c:numRef>
          </c:val>
        </c:ser>
        <c:ser>
          <c:idx val="3"/>
          <c:order val="3"/>
          <c:tx>
            <c:strRef>
              <c:f>'Uso Fatores Prod.'!$E$20</c:f>
              <c:strCache>
                <c:ptCount val="1"/>
                <c:pt idx="0">
                  <c:v>Trigo (hs)</c:v>
                </c:pt>
              </c:strCache>
            </c:strRef>
          </c:tx>
          <c:invertIfNegative val="0"/>
          <c:cat>
            <c:strRef>
              <c:f>'Uso Fatores Prod.'!$A$21:$A$32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'Uso Fatores Prod.'!$E$21:$E$32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200</c:v>
                </c:pt>
                <c:pt idx="5">
                  <c:v>300</c:v>
                </c:pt>
                <c:pt idx="6">
                  <c:v>180</c:v>
                </c:pt>
                <c:pt idx="7">
                  <c:v>120</c:v>
                </c:pt>
                <c:pt idx="8">
                  <c:v>80</c:v>
                </c:pt>
                <c:pt idx="9">
                  <c:v>300</c:v>
                </c:pt>
                <c:pt idx="10">
                  <c:v>120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'Uso Fatores Prod.'!$F$20</c:f>
              <c:strCache>
                <c:ptCount val="1"/>
                <c:pt idx="0">
                  <c:v>Aveia (hs)</c:v>
                </c:pt>
              </c:strCache>
            </c:strRef>
          </c:tx>
          <c:invertIfNegative val="0"/>
          <c:cat>
            <c:strRef>
              <c:f>'Uso Fatores Prod.'!$A$21:$A$32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'Uso Fatores Prod.'!$F$21:$F$32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70</c:v>
                </c:pt>
                <c:pt idx="4">
                  <c:v>120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100</c:v>
                </c:pt>
                <c:pt idx="9">
                  <c:v>110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'Uso Fatores Prod.'!$G$20</c:f>
              <c:strCache>
                <c:ptCount val="1"/>
                <c:pt idx="0">
                  <c:v>Subsist. (hs)</c:v>
                </c:pt>
              </c:strCache>
            </c:strRef>
          </c:tx>
          <c:invertIfNegative val="0"/>
          <c:cat>
            <c:strRef>
              <c:f>'Uso Fatores Prod.'!$A$21:$A$32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'Uso Fatores Prod.'!$G$21:$G$32</c:f>
              <c:numCache>
                <c:formatCode>General</c:formatCode>
                <c:ptCount val="1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027840"/>
        <c:axId val="160193152"/>
      </c:barChart>
      <c:catAx>
        <c:axId val="147027840"/>
        <c:scaling>
          <c:orientation val="minMax"/>
        </c:scaling>
        <c:delete val="0"/>
        <c:axPos val="b"/>
        <c:majorTickMark val="out"/>
        <c:minorTickMark val="none"/>
        <c:tickLblPos val="nextTo"/>
        <c:crossAx val="160193152"/>
        <c:crosses val="autoZero"/>
        <c:auto val="1"/>
        <c:lblAlgn val="ctr"/>
        <c:lblOffset val="100"/>
        <c:noMultiLvlLbl val="0"/>
      </c:catAx>
      <c:valAx>
        <c:axId val="160193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0278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'Uso Fatores Prod.'!$B$36</c:f>
              <c:strCache>
                <c:ptCount val="1"/>
              </c:strCache>
            </c:strRef>
          </c:tx>
          <c:invertIfNegative val="0"/>
          <c:cat>
            <c:strRef>
              <c:f>'Uso Fatores Prod.'!$A$37:$A$48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'Uso Fatores Prod.'!$B$37:$B$48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'Uso Fatores Prod.'!$C$36</c:f>
              <c:strCache>
                <c:ptCount val="1"/>
                <c:pt idx="0">
                  <c:v>Soja </c:v>
                </c:pt>
              </c:strCache>
            </c:strRef>
          </c:tx>
          <c:invertIfNegative val="0"/>
          <c:cat>
            <c:strRef>
              <c:f>'Uso Fatores Prod.'!$A$37:$A$48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'Uso Fatores Prod.'!$C$37:$C$48</c:f>
              <c:numCache>
                <c:formatCode>0.00_);[Red]\(0.00\)</c:formatCode>
                <c:ptCount val="12"/>
                <c:pt idx="4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'Uso Fatores Prod.'!$D$36</c:f>
              <c:strCache>
                <c:ptCount val="1"/>
                <c:pt idx="0">
                  <c:v>Milho </c:v>
                </c:pt>
              </c:strCache>
            </c:strRef>
          </c:tx>
          <c:invertIfNegative val="0"/>
          <c:cat>
            <c:strRef>
              <c:f>'Uso Fatores Prod.'!$A$37:$A$48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'Uso Fatores Prod.'!$D$37:$D$48</c:f>
              <c:numCache>
                <c:formatCode>0.00_);[Red]\(0.00\)</c:formatCode>
                <c:ptCount val="12"/>
                <c:pt idx="0">
                  <c:v>0</c:v>
                </c:pt>
                <c:pt idx="2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'Uso Fatores Prod.'!$E$36</c:f>
              <c:strCache>
                <c:ptCount val="1"/>
                <c:pt idx="0">
                  <c:v>Trigo </c:v>
                </c:pt>
              </c:strCache>
            </c:strRef>
          </c:tx>
          <c:invertIfNegative val="0"/>
          <c:cat>
            <c:strRef>
              <c:f>'Uso Fatores Prod.'!$A$37:$A$48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'Uso Fatores Prod.'!$E$37:$E$48</c:f>
              <c:numCache>
                <c:formatCode>0.00_);[Red]\(0.00\)</c:formatCode>
                <c:ptCount val="12"/>
                <c:pt idx="3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'Uso Fatores Prod.'!$F$36</c:f>
              <c:strCache>
                <c:ptCount val="1"/>
                <c:pt idx="0">
                  <c:v>Aveia </c:v>
                </c:pt>
              </c:strCache>
            </c:strRef>
          </c:tx>
          <c:invertIfNegative val="0"/>
          <c:cat>
            <c:strRef>
              <c:f>'Uso Fatores Prod.'!$A$37:$A$48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'Uso Fatores Prod.'!$F$37:$F$48</c:f>
              <c:numCache>
                <c:formatCode>0.00_);[Red]\(0.00\)</c:formatCode>
                <c:ptCount val="12"/>
                <c:pt idx="2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5"/>
          <c:tx>
            <c:strRef>
              <c:f>'Uso Fatores Prod.'!$G$36</c:f>
              <c:strCache>
                <c:ptCount val="1"/>
                <c:pt idx="0">
                  <c:v>Subsist. </c:v>
                </c:pt>
              </c:strCache>
            </c:strRef>
          </c:tx>
          <c:invertIfNegative val="0"/>
          <c:cat>
            <c:strRef>
              <c:f>'Uso Fatores Prod.'!$A$37:$A$48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'Uso Fatores Prod.'!$G$37:$G$48</c:f>
              <c:numCache>
                <c:formatCode>0.00_);[Red]\(0.00\)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815168"/>
        <c:axId val="161843456"/>
      </c:barChart>
      <c:catAx>
        <c:axId val="161815168"/>
        <c:scaling>
          <c:orientation val="minMax"/>
        </c:scaling>
        <c:delete val="0"/>
        <c:axPos val="b"/>
        <c:majorTickMark val="out"/>
        <c:minorTickMark val="none"/>
        <c:tickLblPos val="nextTo"/>
        <c:crossAx val="161843456"/>
        <c:crosses val="autoZero"/>
        <c:auto val="1"/>
        <c:lblAlgn val="ctr"/>
        <c:lblOffset val="100"/>
        <c:noMultiLvlLbl val="0"/>
      </c:catAx>
      <c:valAx>
        <c:axId val="161843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815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Uso da área</a:t>
            </a:r>
          </a:p>
        </c:rich>
      </c:tx>
      <c:layout>
        <c:manualLayout>
          <c:xMode val="edge"/>
          <c:yMode val="edge"/>
          <c:x val="0.3957789181365523"/>
          <c:y val="3.66666666666666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14270456627301"/>
          <c:y val="0.16000052083502875"/>
          <c:w val="0.78891922220175192"/>
          <c:h val="0.4333347439282029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'Uso Fatores Prod.'!$C$4</c:f>
              <c:strCache>
                <c:ptCount val="1"/>
                <c:pt idx="0">
                  <c:v>Soja (Ha)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'Uso Fatores Prod.'!$A$5:$A$16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'Uso Fatores Prod.'!$C$5:$C$16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'Uso Fatores Prod.'!$D$4</c:f>
              <c:strCache>
                <c:ptCount val="1"/>
                <c:pt idx="0">
                  <c:v>Milho (Ha)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'Uso Fatores Prod.'!$A$5:$A$16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'Uso Fatores Prod.'!$D$5:$D$16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2"/>
          <c:tx>
            <c:strRef>
              <c:f>'Uso Fatores Prod.'!$E$4</c:f>
              <c:strCache>
                <c:ptCount val="1"/>
                <c:pt idx="0">
                  <c:v>Trigo (Há)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'Uso Fatores Prod.'!$A$5:$A$16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'Uso Fatores Prod.'!$E$5:$E$16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3"/>
          <c:tx>
            <c:strRef>
              <c:f>'Uso Fatores Prod.'!$F$4</c:f>
              <c:strCache>
                <c:ptCount val="1"/>
                <c:pt idx="0">
                  <c:v>Aveia (Há)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'Uso Fatores Prod.'!$A$5:$A$16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'Uso Fatores Prod.'!$F$5:$F$16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4"/>
          <c:tx>
            <c:strRef>
              <c:f>'Uso Fatores Prod.'!$G$4</c:f>
              <c:strCache>
                <c:ptCount val="1"/>
                <c:pt idx="0">
                  <c:v>Subsist. (Ha)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'Uso Fatores Prod.'!$A$5:$A$16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'Uso Fatores Prod.'!$G$5:$G$16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571712"/>
        <c:axId val="133573632"/>
      </c:barChart>
      <c:catAx>
        <c:axId val="133571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Mês</a:t>
                </a:r>
              </a:p>
            </c:rich>
          </c:tx>
          <c:layout>
            <c:manualLayout>
              <c:xMode val="edge"/>
              <c:yMode val="edge"/>
              <c:x val="0.49340424795185572"/>
              <c:y val="0.743335783027121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3357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573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SAU (ha)</a:t>
                </a:r>
              </a:p>
            </c:rich>
          </c:tx>
          <c:layout>
            <c:manualLayout>
              <c:xMode val="edge"/>
              <c:yMode val="edge"/>
              <c:x val="3.9577836411609509E-2"/>
              <c:y val="0.280001049868766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33571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50423479386978"/>
          <c:y val="0.83333613298337705"/>
          <c:w val="0.74142563314150389"/>
          <c:h val="0.150000349956255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89" l="0.78740157499999996" r="0.78740157499999996" t="0.98425196899999989" header="0.4921259850000001" footer="0.492125985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Uso da mão de obra</a:t>
            </a:r>
          </a:p>
        </c:rich>
      </c:tx>
      <c:layout>
        <c:manualLayout>
          <c:xMode val="edge"/>
          <c:yMode val="edge"/>
          <c:x val="0.31549329771278595"/>
          <c:y val="3.65448394095246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91574867373004"/>
          <c:y val="0.14617963912550472"/>
          <c:w val="0.77464895280720869"/>
          <c:h val="0.4252498592741955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'Uso Fatores Prod.'!$C$20</c:f>
              <c:strCache>
                <c:ptCount val="1"/>
                <c:pt idx="0">
                  <c:v>Soja (hs)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'Uso Fatores Prod.'!$A$21:$A$32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'Uso Fatores Prod.'!$C$21:$C$32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200</c:v>
                </c:pt>
                <c:pt idx="10">
                  <c:v>450</c:v>
                </c:pt>
                <c:pt idx="11">
                  <c:v>400</c:v>
                </c:pt>
              </c:numCache>
            </c:numRef>
          </c:val>
        </c:ser>
        <c:ser>
          <c:idx val="2"/>
          <c:order val="1"/>
          <c:tx>
            <c:strRef>
              <c:f>'Uso Fatores Prod.'!$D$20</c:f>
              <c:strCache>
                <c:ptCount val="1"/>
                <c:pt idx="0">
                  <c:v>Milho (hs)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'Uso Fatores Prod.'!$A$21:$A$32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'Uso Fatores Prod.'!$D$21:$D$32</c:f>
              <c:numCache>
                <c:formatCode>General</c:formatCode>
                <c:ptCount val="12"/>
                <c:pt idx="0">
                  <c:v>150</c:v>
                </c:pt>
                <c:pt idx="1">
                  <c:v>80</c:v>
                </c:pt>
                <c:pt idx="2">
                  <c:v>60</c:v>
                </c:pt>
                <c:pt idx="3">
                  <c:v>30</c:v>
                </c:pt>
                <c:pt idx="4">
                  <c:v>30</c:v>
                </c:pt>
                <c:pt idx="5">
                  <c:v>120</c:v>
                </c:pt>
                <c:pt idx="6">
                  <c:v>0</c:v>
                </c:pt>
                <c:pt idx="7">
                  <c:v>0</c:v>
                </c:pt>
                <c:pt idx="8">
                  <c:v>120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</c:numCache>
            </c:numRef>
          </c:val>
        </c:ser>
        <c:ser>
          <c:idx val="3"/>
          <c:order val="2"/>
          <c:tx>
            <c:strRef>
              <c:f>'Uso Fatores Prod.'!$E$20</c:f>
              <c:strCache>
                <c:ptCount val="1"/>
                <c:pt idx="0">
                  <c:v>Trigo (hs)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'Uso Fatores Prod.'!$A$21:$A$32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'Uso Fatores Prod.'!$E$21:$E$32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200</c:v>
                </c:pt>
                <c:pt idx="5">
                  <c:v>300</c:v>
                </c:pt>
                <c:pt idx="6">
                  <c:v>180</c:v>
                </c:pt>
                <c:pt idx="7">
                  <c:v>120</c:v>
                </c:pt>
                <c:pt idx="8">
                  <c:v>80</c:v>
                </c:pt>
                <c:pt idx="9">
                  <c:v>300</c:v>
                </c:pt>
                <c:pt idx="10">
                  <c:v>120</c:v>
                </c:pt>
                <c:pt idx="11">
                  <c:v>0</c:v>
                </c:pt>
              </c:numCache>
            </c:numRef>
          </c:val>
        </c:ser>
        <c:ser>
          <c:idx val="4"/>
          <c:order val="3"/>
          <c:tx>
            <c:strRef>
              <c:f>'Uso Fatores Prod.'!$F$20</c:f>
              <c:strCache>
                <c:ptCount val="1"/>
                <c:pt idx="0">
                  <c:v>Aveia (hs)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'Uso Fatores Prod.'!$A$21:$A$32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'Uso Fatores Prod.'!$F$21:$F$32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70</c:v>
                </c:pt>
                <c:pt idx="4">
                  <c:v>120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100</c:v>
                </c:pt>
                <c:pt idx="9">
                  <c:v>110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4"/>
          <c:tx>
            <c:strRef>
              <c:f>'Uso Fatores Prod.'!$G$20</c:f>
              <c:strCache>
                <c:ptCount val="1"/>
                <c:pt idx="0">
                  <c:v>Subsist. (hs)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'Uso Fatores Prod.'!$A$21:$A$32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'Uso Fatores Prod.'!$G$21:$G$32</c:f>
              <c:numCache>
                <c:formatCode>General</c:formatCode>
                <c:ptCount val="1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589632"/>
        <c:axId val="133591808"/>
      </c:barChart>
      <c:catAx>
        <c:axId val="133589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Mes</a:t>
                </a:r>
              </a:p>
            </c:rich>
          </c:tx>
          <c:layout>
            <c:manualLayout>
              <c:xMode val="edge"/>
              <c:yMode val="edge"/>
              <c:x val="0.47887396887889022"/>
              <c:y val="0.717609272829335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3359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591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Horas</a:t>
                </a:r>
              </a:p>
            </c:rich>
          </c:tx>
          <c:layout>
            <c:manualLayout>
              <c:xMode val="edge"/>
              <c:yMode val="edge"/>
              <c:x val="4.507053805774279E-2"/>
              <c:y val="0.295681580264894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335896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281706974128236"/>
          <c:y val="0.83388830731418706"/>
          <c:w val="0.74084598800149992"/>
          <c:h val="0.142857402940239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89" l="0.78740157499999996" r="0.78740157499999996" t="0.98425196899999989" header="0.4921259850000001" footer="0.492125985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Capital Circulante por Atividade</a:t>
            </a:r>
          </a:p>
        </c:rich>
      </c:tx>
      <c:layout>
        <c:manualLayout>
          <c:xMode val="edge"/>
          <c:yMode val="edge"/>
          <c:x val="0.21448455911096223"/>
          <c:y val="3.41880341880341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526462395543185"/>
          <c:y val="0.17663866808746242"/>
          <c:w val="0.66573816155988874"/>
          <c:h val="0.6182353383061185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'Uso Fatores Prod.'!$C$36</c:f>
              <c:strCache>
                <c:ptCount val="1"/>
                <c:pt idx="0">
                  <c:v>Soja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'Uso Fatores Prod.'!$A$37:$A$48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'Uso Fatores Prod.'!$C$37:$C$48</c:f>
              <c:numCache>
                <c:formatCode>0.00_);[Red]\(0.00\)</c:formatCode>
                <c:ptCount val="12"/>
                <c:pt idx="4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strRef>
              <c:f>'Uso Fatores Prod.'!$D$36</c:f>
              <c:strCache>
                <c:ptCount val="1"/>
                <c:pt idx="0">
                  <c:v>Milho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'Uso Fatores Prod.'!$A$37:$A$48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'Uso Fatores Prod.'!$D$37:$D$48</c:f>
              <c:numCache>
                <c:formatCode>0.00_);[Red]\(0.00\)</c:formatCode>
                <c:ptCount val="12"/>
                <c:pt idx="0">
                  <c:v>0</c:v>
                </c:pt>
                <c:pt idx="2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2"/>
          <c:tx>
            <c:strRef>
              <c:f>'Uso Fatores Prod.'!$E$36</c:f>
              <c:strCache>
                <c:ptCount val="1"/>
                <c:pt idx="0">
                  <c:v>Trigo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'Uso Fatores Prod.'!$A$37:$A$48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'Uso Fatores Prod.'!$E$37:$E$48</c:f>
              <c:numCache>
                <c:formatCode>0.00_);[Red]\(0.00\)</c:formatCode>
                <c:ptCount val="12"/>
                <c:pt idx="3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3"/>
          <c:tx>
            <c:strRef>
              <c:f>'Uso Fatores Prod.'!$F$36</c:f>
              <c:strCache>
                <c:ptCount val="1"/>
                <c:pt idx="0">
                  <c:v>Aveia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'Uso Fatores Prod.'!$A$37:$A$48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'Uso Fatores Prod.'!$F$37:$F$48</c:f>
              <c:numCache>
                <c:formatCode>0.00_);[Red]\(0.00\)</c:formatCode>
                <c:ptCount val="12"/>
                <c:pt idx="2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4"/>
          <c:tx>
            <c:strRef>
              <c:f>'Uso Fatores Prod.'!$G$36</c:f>
              <c:strCache>
                <c:ptCount val="1"/>
                <c:pt idx="0">
                  <c:v>Subsist.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'Uso Fatores Prod.'!$A$37:$A$48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'Uso Fatores Prod.'!$G$37:$G$48</c:f>
              <c:numCache>
                <c:formatCode>0.00_);[Red]\(0.00\)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603712"/>
        <c:axId val="133605632"/>
      </c:barChart>
      <c:catAx>
        <c:axId val="13360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Mes</a:t>
                </a:r>
              </a:p>
            </c:rich>
          </c:tx>
          <c:layout>
            <c:manualLayout>
              <c:xMode val="edge"/>
              <c:yMode val="edge"/>
              <c:x val="0.58774361981348089"/>
              <c:y val="0.82336421622510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336056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3605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R$</a:t>
                </a:r>
              </a:p>
            </c:rich>
          </c:tx>
          <c:layout>
            <c:manualLayout>
              <c:xMode val="edge"/>
              <c:yMode val="edge"/>
              <c:x val="4.4568325235941272E-2"/>
              <c:y val="0.46153965797010416"/>
            </c:manualLayout>
          </c:layout>
          <c:overlay val="0"/>
          <c:spPr>
            <a:noFill/>
            <a:ln w="25400">
              <a:noFill/>
            </a:ln>
          </c:spPr>
        </c:title>
        <c:numFmt formatCode="0.00_);[Red]\(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33603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640671245881501"/>
          <c:y val="0.91738160935011337"/>
          <c:w val="0.64345395655330351"/>
          <c:h val="6.2678361785973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89" l="0.78740157499999996" r="0.78740157499999996" t="0.98425196899999989" header="0.4921259850000001" footer="0.492125985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Capital Circulante Total</a:t>
            </a:r>
          </a:p>
        </c:rich>
      </c:tx>
      <c:layout>
        <c:manualLayout>
          <c:xMode val="edge"/>
          <c:yMode val="edge"/>
          <c:x val="0.26424870466321243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38341968911923"/>
          <c:y val="0.19318208615679125"/>
          <c:w val="0.68134715025906734"/>
          <c:h val="0.66761456245361683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'Uso Fatores Prod.'!$H$36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'Uso Fatores Prod.'!$A$37:$A$48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'Uso Fatores Prod.'!$H$37:$H$48</c:f>
              <c:numCache>
                <c:formatCode>0.00_);[Red]\(0.00\)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42880"/>
        <c:axId val="133661440"/>
      </c:barChart>
      <c:catAx>
        <c:axId val="133642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Mes</a:t>
                </a:r>
              </a:p>
            </c:rich>
          </c:tx>
          <c:layout>
            <c:manualLayout>
              <c:xMode val="edge"/>
              <c:yMode val="edge"/>
              <c:x val="0.5777202072538864"/>
              <c:y val="0.88920573848723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33661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661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R$</a:t>
                </a:r>
              </a:p>
            </c:rich>
          </c:tx>
          <c:layout>
            <c:manualLayout>
              <c:xMode val="edge"/>
              <c:yMode val="edge"/>
              <c:x val="4.145077720207254E-2"/>
              <c:y val="0.49431877833452648"/>
            </c:manualLayout>
          </c:layout>
          <c:overlay val="0"/>
          <c:spPr>
            <a:noFill/>
            <a:ln w="25400">
              <a:noFill/>
            </a:ln>
          </c:spPr>
        </c:title>
        <c:numFmt formatCode="0.00_);[Red]\(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336428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89" l="0.78740157499999996" r="0.78740157499999996" t="0.98425196899999989" header="0.4921259850000001" footer="0.492125985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Subsistemas</a:t>
            </a:r>
            <a:r>
              <a:rPr lang="pt-BR" baseline="0"/>
              <a:t> (sistemas de cultura)</a:t>
            </a:r>
            <a:endParaRPr lang="pt-BR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Cálculo!$B$225:$B$228</c:f>
              <c:strCache>
                <c:ptCount val="4"/>
                <c:pt idx="0">
                  <c:v>Soja/Trigo</c:v>
                </c:pt>
                <c:pt idx="1">
                  <c:v>Soja/Aveia</c:v>
                </c:pt>
                <c:pt idx="2">
                  <c:v>Milho/Milho</c:v>
                </c:pt>
                <c:pt idx="3">
                  <c:v>Subsistência</c:v>
                </c:pt>
              </c:strCache>
            </c:strRef>
          </c:cat>
          <c:val>
            <c:numRef>
              <c:f>Cálculo!$C$225:$C$228</c:f>
              <c:numCache>
                <c:formatCode>0.00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835031214318546"/>
          <c:y val="0.3389815394648158"/>
          <c:w val="0.25658377448581637"/>
          <c:h val="0.38175933163716658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Cálculo!$C$241</c:f>
              <c:strCache>
                <c:ptCount val="1"/>
                <c:pt idx="0">
                  <c:v>VA/UT</c:v>
                </c:pt>
              </c:strCache>
            </c:strRef>
          </c:tx>
          <c:marker>
            <c:symbol val="none"/>
          </c:marker>
          <c:xVal>
            <c:numRef>
              <c:f>Cálculo!$B$242:$B$243</c:f>
              <c:numCache>
                <c:formatCode>0.00</c:formatCode>
                <c:ptCount val="2"/>
              </c:numCache>
            </c:numRef>
          </c:xVal>
          <c:yVal>
            <c:numRef>
              <c:f>Cálculo!$C$242:$C$243</c:f>
              <c:numCache>
                <c:formatCode>0.00</c:formatCode>
                <c:ptCount val="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747072"/>
        <c:axId val="133748608"/>
      </c:scatterChart>
      <c:valAx>
        <c:axId val="13374707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33748608"/>
        <c:crosses val="autoZero"/>
        <c:crossBetween val="midCat"/>
      </c:valAx>
      <c:valAx>
        <c:axId val="1337486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7470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273048</xdr:colOff>
      <xdr:row>0</xdr:row>
      <xdr:rowOff>152400</xdr:rowOff>
    </xdr:from>
    <xdr:to>
      <xdr:col>18</xdr:col>
      <xdr:colOff>266699</xdr:colOff>
      <xdr:row>16</xdr:row>
      <xdr:rowOff>114300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273048</xdr:colOff>
      <xdr:row>17</xdr:row>
      <xdr:rowOff>88900</xdr:rowOff>
    </xdr:from>
    <xdr:to>
      <xdr:col>19</xdr:col>
      <xdr:colOff>12699</xdr:colOff>
      <xdr:row>33</xdr:row>
      <xdr:rowOff>152400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450848</xdr:colOff>
      <xdr:row>34</xdr:row>
      <xdr:rowOff>88900</xdr:rowOff>
    </xdr:from>
    <xdr:to>
      <xdr:col>18</xdr:col>
      <xdr:colOff>380999</xdr:colOff>
      <xdr:row>49</xdr:row>
      <xdr:rowOff>165100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123825</xdr:rowOff>
    </xdr:from>
    <xdr:to>
      <xdr:col>5</xdr:col>
      <xdr:colOff>571500</xdr:colOff>
      <xdr:row>18</xdr:row>
      <xdr:rowOff>66675</xdr:rowOff>
    </xdr:to>
    <xdr:graphicFrame macro="">
      <xdr:nvGraphicFramePr>
        <xdr:cNvPr id="31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47625</xdr:colOff>
      <xdr:row>0</xdr:row>
      <xdr:rowOff>114300</xdr:rowOff>
    </xdr:from>
    <xdr:to>
      <xdr:col>13</xdr:col>
      <xdr:colOff>47625</xdr:colOff>
      <xdr:row>21</xdr:row>
      <xdr:rowOff>9525</xdr:rowOff>
    </xdr:to>
    <xdr:graphicFrame macro="">
      <xdr:nvGraphicFramePr>
        <xdr:cNvPr id="31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161925</xdr:colOff>
      <xdr:row>0</xdr:row>
      <xdr:rowOff>85725</xdr:rowOff>
    </xdr:from>
    <xdr:to>
      <xdr:col>19</xdr:col>
      <xdr:colOff>85725</xdr:colOff>
      <xdr:row>21</xdr:row>
      <xdr:rowOff>28575</xdr:rowOff>
    </xdr:to>
    <xdr:graphicFrame macro="">
      <xdr:nvGraphicFramePr>
        <xdr:cNvPr id="319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18</xdr:row>
      <xdr:rowOff>142875</xdr:rowOff>
    </xdr:from>
    <xdr:to>
      <xdr:col>6</xdr:col>
      <xdr:colOff>19050</xdr:colOff>
      <xdr:row>39</xdr:row>
      <xdr:rowOff>95250</xdr:rowOff>
    </xdr:to>
    <xdr:graphicFrame macro="">
      <xdr:nvGraphicFramePr>
        <xdr:cNvPr id="320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76199</xdr:colOff>
      <xdr:row>21</xdr:row>
      <xdr:rowOff>57150</xdr:rowOff>
    </xdr:from>
    <xdr:to>
      <xdr:col>14</xdr:col>
      <xdr:colOff>257174</xdr:colOff>
      <xdr:row>39</xdr:row>
      <xdr:rowOff>114299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7656</xdr:colOff>
      <xdr:row>5</xdr:row>
      <xdr:rowOff>158750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333" y="402167"/>
          <a:ext cx="3902323" cy="762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257174</xdr:colOff>
      <xdr:row>24</xdr:row>
      <xdr:rowOff>19050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552449</xdr:colOff>
      <xdr:row>2</xdr:row>
      <xdr:rowOff>9524</xdr:rowOff>
    </xdr:from>
    <xdr:to>
      <xdr:col>16</xdr:col>
      <xdr:colOff>600074</xdr:colOff>
      <xdr:row>24</xdr:row>
      <xdr:rowOff>38099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0</xdr:row>
      <xdr:rowOff>161924</xdr:rowOff>
    </xdr:from>
    <xdr:to>
      <xdr:col>13</xdr:col>
      <xdr:colOff>28574</xdr:colOff>
      <xdr:row>27</xdr:row>
      <xdr:rowOff>28574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tabSelected="1" zoomScale="75" workbookViewId="0">
      <selection activeCell="A4" sqref="A4:B4"/>
    </sheetView>
  </sheetViews>
  <sheetFormatPr defaultRowHeight="15.75" x14ac:dyDescent="0.25"/>
  <cols>
    <col min="1" max="1" width="10.140625" style="1" customWidth="1"/>
    <col min="2" max="2" width="9.140625" style="1"/>
    <col min="3" max="3" width="13.5703125" style="1" bestFit="1" customWidth="1"/>
    <col min="4" max="4" width="12" style="1" customWidth="1"/>
    <col min="5" max="5" width="12.42578125" style="1" customWidth="1"/>
    <col min="6" max="6" width="11.85546875" style="1" customWidth="1"/>
    <col min="7" max="7" width="13.42578125" style="1" bestFit="1" customWidth="1"/>
    <col min="8" max="8" width="13.5703125" style="1" bestFit="1" customWidth="1"/>
    <col min="9" max="9" width="10.28515625" style="1" bestFit="1" customWidth="1"/>
    <col min="10" max="10" width="9.5703125" style="1" customWidth="1"/>
    <col min="11" max="11" width="11.5703125" style="1" bestFit="1" customWidth="1"/>
    <col min="12" max="16384" width="9.140625" style="1"/>
  </cols>
  <sheetData>
    <row r="1" spans="1:9" s="2" customFormat="1" x14ac:dyDescent="0.25">
      <c r="A1" s="2" t="s">
        <v>269</v>
      </c>
    </row>
    <row r="3" spans="1:9" s="2" customFormat="1" x14ac:dyDescent="0.25">
      <c r="A3" s="2" t="s">
        <v>270</v>
      </c>
      <c r="H3" s="2" t="s">
        <v>183</v>
      </c>
      <c r="I3" s="7">
        <v>170</v>
      </c>
    </row>
    <row r="4" spans="1:9" x14ac:dyDescent="0.25">
      <c r="A4" s="71" t="s">
        <v>184</v>
      </c>
      <c r="B4" s="71"/>
      <c r="C4" s="3" t="s">
        <v>185</v>
      </c>
      <c r="D4" s="3" t="s">
        <v>203</v>
      </c>
      <c r="E4" s="3" t="s">
        <v>204</v>
      </c>
      <c r="F4" s="3" t="s">
        <v>205</v>
      </c>
      <c r="G4" s="3" t="s">
        <v>186</v>
      </c>
      <c r="H4" s="3" t="s">
        <v>28</v>
      </c>
      <c r="I4" s="3" t="s">
        <v>187</v>
      </c>
    </row>
    <row r="5" spans="1:9" x14ac:dyDescent="0.25">
      <c r="A5" s="71" t="s">
        <v>188</v>
      </c>
      <c r="B5" s="71"/>
      <c r="C5" s="4">
        <f>Cálculo!C51</f>
        <v>0</v>
      </c>
      <c r="D5" s="4">
        <f>D14</f>
        <v>0</v>
      </c>
      <c r="E5" s="4">
        <v>0</v>
      </c>
      <c r="F5" s="4">
        <v>0</v>
      </c>
      <c r="G5" s="4">
        <f>Cálculo!F130</f>
        <v>2</v>
      </c>
      <c r="H5" s="4">
        <f>SUM(C5:G5)</f>
        <v>2</v>
      </c>
      <c r="I5" s="4">
        <f>I$3-H5</f>
        <v>168</v>
      </c>
    </row>
    <row r="6" spans="1:9" x14ac:dyDescent="0.25">
      <c r="A6" s="71" t="s">
        <v>189</v>
      </c>
      <c r="B6" s="71"/>
      <c r="C6" s="4">
        <f>C5</f>
        <v>0</v>
      </c>
      <c r="D6" s="4">
        <f>Cálculo!C53</f>
        <v>0</v>
      </c>
      <c r="E6" s="4">
        <v>0</v>
      </c>
      <c r="F6" s="4">
        <v>0</v>
      </c>
      <c r="G6" s="4">
        <f>G5</f>
        <v>2</v>
      </c>
      <c r="H6" s="4">
        <f t="shared" ref="H6:H16" si="0">SUM(C6:G6)</f>
        <v>2</v>
      </c>
      <c r="I6" s="4">
        <f t="shared" ref="I6:I16" si="1">I$3-H6</f>
        <v>168</v>
      </c>
    </row>
    <row r="7" spans="1:9" x14ac:dyDescent="0.25">
      <c r="A7" s="71" t="s">
        <v>190</v>
      </c>
      <c r="B7" s="71"/>
      <c r="C7" s="4">
        <f>C6/150*130</f>
        <v>0</v>
      </c>
      <c r="D7" s="4">
        <f>D6</f>
        <v>0</v>
      </c>
      <c r="E7" s="4">
        <v>0</v>
      </c>
      <c r="F7" s="4">
        <v>0</v>
      </c>
      <c r="G7" s="4">
        <f t="shared" ref="G7:G16" si="2">G6</f>
        <v>2</v>
      </c>
      <c r="H7" s="4">
        <f t="shared" si="0"/>
        <v>2</v>
      </c>
      <c r="I7" s="4">
        <f t="shared" si="1"/>
        <v>168</v>
      </c>
    </row>
    <row r="8" spans="1:9" x14ac:dyDescent="0.25">
      <c r="A8" s="71" t="s">
        <v>191</v>
      </c>
      <c r="B8" s="71"/>
      <c r="C8" s="4">
        <f>C6/150*30</f>
        <v>0</v>
      </c>
      <c r="D8" s="4">
        <f>D7</f>
        <v>0</v>
      </c>
      <c r="E8" s="4">
        <v>0</v>
      </c>
      <c r="F8" s="4">
        <f>Cálculo!C55/50*30</f>
        <v>0</v>
      </c>
      <c r="G8" s="4">
        <f t="shared" si="2"/>
        <v>2</v>
      </c>
      <c r="H8" s="4">
        <f t="shared" si="0"/>
        <v>2</v>
      </c>
      <c r="I8" s="4">
        <f t="shared" si="1"/>
        <v>168</v>
      </c>
    </row>
    <row r="9" spans="1:9" x14ac:dyDescent="0.25">
      <c r="A9" s="71" t="s">
        <v>192</v>
      </c>
      <c r="B9" s="71"/>
      <c r="C9" s="4">
        <v>0</v>
      </c>
      <c r="D9" s="4">
        <f>D8</f>
        <v>0</v>
      </c>
      <c r="E9" s="4">
        <f>Cálculo!C54/100*20</f>
        <v>0</v>
      </c>
      <c r="F9" s="4">
        <f>Cálculo!C55</f>
        <v>0</v>
      </c>
      <c r="G9" s="4">
        <f t="shared" si="2"/>
        <v>2</v>
      </c>
      <c r="H9" s="4">
        <f t="shared" si="0"/>
        <v>2</v>
      </c>
      <c r="I9" s="4">
        <f t="shared" si="1"/>
        <v>168</v>
      </c>
    </row>
    <row r="10" spans="1:9" x14ac:dyDescent="0.25">
      <c r="A10" s="71" t="s">
        <v>193</v>
      </c>
      <c r="B10" s="71"/>
      <c r="C10" s="4">
        <v>0</v>
      </c>
      <c r="D10" s="4">
        <f>D9</f>
        <v>0</v>
      </c>
      <c r="E10" s="4">
        <f>Cálculo!C54/100*80</f>
        <v>0</v>
      </c>
      <c r="F10" s="4">
        <f>F9</f>
        <v>0</v>
      </c>
      <c r="G10" s="4">
        <f t="shared" si="2"/>
        <v>2</v>
      </c>
      <c r="H10" s="4">
        <f t="shared" si="0"/>
        <v>2</v>
      </c>
      <c r="I10" s="4">
        <f t="shared" si="1"/>
        <v>168</v>
      </c>
    </row>
    <row r="11" spans="1:9" x14ac:dyDescent="0.25">
      <c r="A11" s="71" t="s">
        <v>194</v>
      </c>
      <c r="B11" s="71"/>
      <c r="C11" s="4">
        <v>0</v>
      </c>
      <c r="D11" s="4">
        <v>0</v>
      </c>
      <c r="E11" s="4">
        <f>Cálculo!C54</f>
        <v>0</v>
      </c>
      <c r="F11" s="4">
        <f>F10</f>
        <v>0</v>
      </c>
      <c r="G11" s="4">
        <f t="shared" si="2"/>
        <v>2</v>
      </c>
      <c r="H11" s="4">
        <f t="shared" si="0"/>
        <v>2</v>
      </c>
      <c r="I11" s="4">
        <f t="shared" si="1"/>
        <v>168</v>
      </c>
    </row>
    <row r="12" spans="1:9" x14ac:dyDescent="0.25">
      <c r="A12" s="71" t="s">
        <v>195</v>
      </c>
      <c r="B12" s="71"/>
      <c r="C12" s="4">
        <v>0</v>
      </c>
      <c r="D12" s="4">
        <v>0</v>
      </c>
      <c r="E12" s="4">
        <f>E11</f>
        <v>0</v>
      </c>
      <c r="F12" s="4">
        <f>F11</f>
        <v>0</v>
      </c>
      <c r="G12" s="4">
        <f t="shared" si="2"/>
        <v>2</v>
      </c>
      <c r="H12" s="4">
        <f t="shared" si="0"/>
        <v>2</v>
      </c>
      <c r="I12" s="4">
        <f t="shared" si="1"/>
        <v>168</v>
      </c>
    </row>
    <row r="13" spans="1:9" x14ac:dyDescent="0.25">
      <c r="A13" s="71" t="s">
        <v>196</v>
      </c>
      <c r="B13" s="71"/>
      <c r="C13" s="4">
        <v>0</v>
      </c>
      <c r="D13" s="4">
        <f>Cálculo!C52</f>
        <v>0</v>
      </c>
      <c r="E13" s="4">
        <f>E12</f>
        <v>0</v>
      </c>
      <c r="F13" s="4">
        <f>F12/50*30</f>
        <v>0</v>
      </c>
      <c r="G13" s="4">
        <f t="shared" si="2"/>
        <v>2</v>
      </c>
      <c r="H13" s="4">
        <f t="shared" si="0"/>
        <v>2</v>
      </c>
      <c r="I13" s="4">
        <f t="shared" si="1"/>
        <v>168</v>
      </c>
    </row>
    <row r="14" spans="1:9" x14ac:dyDescent="0.25">
      <c r="A14" s="71" t="s">
        <v>197</v>
      </c>
      <c r="B14" s="71"/>
      <c r="C14" s="4">
        <f>C5/150*20</f>
        <v>0</v>
      </c>
      <c r="D14" s="4">
        <f>D13</f>
        <v>0</v>
      </c>
      <c r="E14" s="4">
        <f>E13/100*80</f>
        <v>0</v>
      </c>
      <c r="F14" s="4">
        <v>0</v>
      </c>
      <c r="G14" s="4">
        <f t="shared" si="2"/>
        <v>2</v>
      </c>
      <c r="H14" s="4">
        <f t="shared" si="0"/>
        <v>2</v>
      </c>
      <c r="I14" s="4">
        <f t="shared" si="1"/>
        <v>168</v>
      </c>
    </row>
    <row r="15" spans="1:9" x14ac:dyDescent="0.25">
      <c r="A15" s="71" t="s">
        <v>198</v>
      </c>
      <c r="B15" s="71"/>
      <c r="C15" s="4">
        <f>C5/150*120</f>
        <v>0</v>
      </c>
      <c r="D15" s="4">
        <f>D14</f>
        <v>0</v>
      </c>
      <c r="E15" s="4">
        <f>E13/100*20</f>
        <v>0</v>
      </c>
      <c r="F15" s="4">
        <v>0</v>
      </c>
      <c r="G15" s="4">
        <f t="shared" si="2"/>
        <v>2</v>
      </c>
      <c r="H15" s="4">
        <f t="shared" si="0"/>
        <v>2</v>
      </c>
      <c r="I15" s="4">
        <f t="shared" si="1"/>
        <v>168</v>
      </c>
    </row>
    <row r="16" spans="1:9" x14ac:dyDescent="0.25">
      <c r="A16" s="71" t="s">
        <v>199</v>
      </c>
      <c r="B16" s="71"/>
      <c r="C16" s="4">
        <f>C5</f>
        <v>0</v>
      </c>
      <c r="D16" s="4">
        <f>D15</f>
        <v>0</v>
      </c>
      <c r="E16" s="4">
        <v>0</v>
      </c>
      <c r="F16" s="4">
        <v>0</v>
      </c>
      <c r="G16" s="4">
        <f t="shared" si="2"/>
        <v>2</v>
      </c>
      <c r="H16" s="4">
        <f t="shared" si="0"/>
        <v>2</v>
      </c>
      <c r="I16" s="4">
        <f t="shared" si="1"/>
        <v>168</v>
      </c>
    </row>
    <row r="17" spans="1:9" x14ac:dyDescent="0.25">
      <c r="A17" s="5"/>
      <c r="B17" s="5"/>
      <c r="C17" s="8"/>
      <c r="D17" s="8"/>
      <c r="E17" s="8"/>
      <c r="F17" s="8"/>
      <c r="G17" s="8"/>
      <c r="H17" s="8"/>
      <c r="I17" s="8"/>
    </row>
    <row r="18" spans="1:9" x14ac:dyDescent="0.25">
      <c r="A18" s="5"/>
      <c r="B18" s="5"/>
      <c r="C18" s="8"/>
      <c r="D18" s="8"/>
      <c r="E18" s="8"/>
      <c r="F18" s="8"/>
      <c r="G18" s="8"/>
      <c r="H18" s="8"/>
      <c r="I18" s="8"/>
    </row>
    <row r="19" spans="1:9" x14ac:dyDescent="0.25">
      <c r="A19" s="2" t="s">
        <v>271</v>
      </c>
      <c r="B19" s="2"/>
      <c r="C19" s="2"/>
      <c r="D19" s="2"/>
      <c r="E19" s="2"/>
      <c r="F19" s="2"/>
      <c r="G19" s="2"/>
      <c r="H19" s="6" t="s">
        <v>200</v>
      </c>
      <c r="I19" s="9">
        <v>720</v>
      </c>
    </row>
    <row r="20" spans="1:9" x14ac:dyDescent="0.25">
      <c r="A20" s="71" t="s">
        <v>184</v>
      </c>
      <c r="B20" s="71"/>
      <c r="C20" s="3" t="s">
        <v>201</v>
      </c>
      <c r="D20" s="3" t="s">
        <v>206</v>
      </c>
      <c r="E20" s="3" t="s">
        <v>207</v>
      </c>
      <c r="F20" s="3" t="s">
        <v>208</v>
      </c>
      <c r="G20" s="3" t="s">
        <v>202</v>
      </c>
      <c r="H20" s="3" t="s">
        <v>28</v>
      </c>
      <c r="I20" s="3" t="s">
        <v>187</v>
      </c>
    </row>
    <row r="21" spans="1:9" x14ac:dyDescent="0.25">
      <c r="A21" s="71" t="s">
        <v>188</v>
      </c>
      <c r="B21" s="71"/>
      <c r="C21" s="4">
        <f>250/150*C5</f>
        <v>0</v>
      </c>
      <c r="D21" s="4">
        <v>150</v>
      </c>
      <c r="E21" s="4">
        <v>0</v>
      </c>
      <c r="F21" s="4">
        <v>0</v>
      </c>
      <c r="G21" s="4">
        <v>50</v>
      </c>
      <c r="H21" s="4">
        <f>SUM(C21:G21)</f>
        <v>200</v>
      </c>
      <c r="I21" s="4">
        <f>I$19-H21</f>
        <v>520</v>
      </c>
    </row>
    <row r="22" spans="1:9" x14ac:dyDescent="0.25">
      <c r="A22" s="71" t="s">
        <v>189</v>
      </c>
      <c r="B22" s="71"/>
      <c r="C22" s="4">
        <f>250/150*C6</f>
        <v>0</v>
      </c>
      <c r="D22" s="4">
        <v>80</v>
      </c>
      <c r="E22" s="4">
        <v>0</v>
      </c>
      <c r="F22" s="4">
        <v>0</v>
      </c>
      <c r="G22" s="4">
        <v>50</v>
      </c>
      <c r="H22" s="4">
        <f t="shared" ref="H22:H32" si="3">SUM(C22:G22)</f>
        <v>130</v>
      </c>
      <c r="I22" s="4">
        <f t="shared" ref="I22:I32" si="4">I$19-H22</f>
        <v>590</v>
      </c>
    </row>
    <row r="23" spans="1:9" x14ac:dyDescent="0.25">
      <c r="A23" s="71" t="s">
        <v>190</v>
      </c>
      <c r="B23" s="71"/>
      <c r="C23" s="4">
        <f>300/130*C7</f>
        <v>0</v>
      </c>
      <c r="D23" s="4">
        <v>60</v>
      </c>
      <c r="E23" s="4">
        <v>0</v>
      </c>
      <c r="F23" s="4">
        <v>0</v>
      </c>
      <c r="G23" s="4">
        <v>50</v>
      </c>
      <c r="H23" s="4">
        <f t="shared" si="3"/>
        <v>110</v>
      </c>
      <c r="I23" s="4">
        <f t="shared" si="4"/>
        <v>610</v>
      </c>
    </row>
    <row r="24" spans="1:9" x14ac:dyDescent="0.25">
      <c r="A24" s="71" t="s">
        <v>191</v>
      </c>
      <c r="B24" s="71"/>
      <c r="C24" s="4">
        <f>550/30*C8</f>
        <v>0</v>
      </c>
      <c r="D24" s="4">
        <v>30</v>
      </c>
      <c r="E24" s="4">
        <v>0</v>
      </c>
      <c r="F24" s="4">
        <v>70</v>
      </c>
      <c r="G24" s="4">
        <v>50</v>
      </c>
      <c r="H24" s="4">
        <f t="shared" si="3"/>
        <v>150</v>
      </c>
      <c r="I24" s="4">
        <f t="shared" si="4"/>
        <v>570</v>
      </c>
    </row>
    <row r="25" spans="1:9" x14ac:dyDescent="0.25">
      <c r="A25" s="71" t="s">
        <v>192</v>
      </c>
      <c r="B25" s="71"/>
      <c r="C25" s="4">
        <f>100/150*C6</f>
        <v>0</v>
      </c>
      <c r="D25" s="4">
        <v>30</v>
      </c>
      <c r="E25" s="4">
        <v>200</v>
      </c>
      <c r="F25" s="4">
        <v>120</v>
      </c>
      <c r="G25" s="4">
        <v>50</v>
      </c>
      <c r="H25" s="4">
        <f t="shared" si="3"/>
        <v>400</v>
      </c>
      <c r="I25" s="4">
        <f t="shared" si="4"/>
        <v>320</v>
      </c>
    </row>
    <row r="26" spans="1:9" x14ac:dyDescent="0.25">
      <c r="A26" s="71" t="s">
        <v>193</v>
      </c>
      <c r="B26" s="71"/>
      <c r="C26" s="4">
        <v>0</v>
      </c>
      <c r="D26" s="4">
        <v>120</v>
      </c>
      <c r="E26" s="4">
        <v>300</v>
      </c>
      <c r="F26" s="4">
        <v>60</v>
      </c>
      <c r="G26" s="4">
        <v>50</v>
      </c>
      <c r="H26" s="4">
        <f t="shared" si="3"/>
        <v>530</v>
      </c>
      <c r="I26" s="4">
        <f t="shared" si="4"/>
        <v>190</v>
      </c>
    </row>
    <row r="27" spans="1:9" x14ac:dyDescent="0.25">
      <c r="A27" s="71" t="s">
        <v>194</v>
      </c>
      <c r="B27" s="71"/>
      <c r="C27" s="4">
        <v>0</v>
      </c>
      <c r="D27" s="4">
        <v>0</v>
      </c>
      <c r="E27" s="4">
        <v>180</v>
      </c>
      <c r="F27" s="4">
        <v>60</v>
      </c>
      <c r="G27" s="4">
        <v>50</v>
      </c>
      <c r="H27" s="4">
        <f t="shared" si="3"/>
        <v>290</v>
      </c>
      <c r="I27" s="4">
        <f t="shared" si="4"/>
        <v>430</v>
      </c>
    </row>
    <row r="28" spans="1:9" x14ac:dyDescent="0.25">
      <c r="A28" s="71" t="s">
        <v>195</v>
      </c>
      <c r="B28" s="71"/>
      <c r="C28" s="4">
        <v>0</v>
      </c>
      <c r="D28" s="4">
        <v>0</v>
      </c>
      <c r="E28" s="4">
        <v>120</v>
      </c>
      <c r="F28" s="4">
        <v>60</v>
      </c>
      <c r="G28" s="4">
        <v>50</v>
      </c>
      <c r="H28" s="4">
        <f t="shared" si="3"/>
        <v>230</v>
      </c>
      <c r="I28" s="4">
        <f t="shared" si="4"/>
        <v>490</v>
      </c>
    </row>
    <row r="29" spans="1:9" x14ac:dyDescent="0.25">
      <c r="A29" s="71" t="s">
        <v>196</v>
      </c>
      <c r="B29" s="71"/>
      <c r="C29" s="4">
        <v>0</v>
      </c>
      <c r="D29" s="4">
        <v>120</v>
      </c>
      <c r="E29" s="4">
        <v>80</v>
      </c>
      <c r="F29" s="4">
        <v>100</v>
      </c>
      <c r="G29" s="4">
        <v>50</v>
      </c>
      <c r="H29" s="4">
        <f t="shared" si="3"/>
        <v>350</v>
      </c>
      <c r="I29" s="4">
        <f t="shared" si="4"/>
        <v>370</v>
      </c>
    </row>
    <row r="30" spans="1:9" x14ac:dyDescent="0.25">
      <c r="A30" s="71" t="s">
        <v>197</v>
      </c>
      <c r="B30" s="71"/>
      <c r="C30" s="4">
        <v>200</v>
      </c>
      <c r="D30" s="4">
        <v>50</v>
      </c>
      <c r="E30" s="4">
        <v>300</v>
      </c>
      <c r="F30" s="4">
        <v>110</v>
      </c>
      <c r="G30" s="4">
        <v>50</v>
      </c>
      <c r="H30" s="4">
        <f t="shared" si="3"/>
        <v>710</v>
      </c>
      <c r="I30" s="4">
        <f t="shared" si="4"/>
        <v>10</v>
      </c>
    </row>
    <row r="31" spans="1:9" x14ac:dyDescent="0.25">
      <c r="A31" s="71" t="s">
        <v>198</v>
      </c>
      <c r="B31" s="71"/>
      <c r="C31" s="4">
        <v>450</v>
      </c>
      <c r="D31" s="4">
        <v>50</v>
      </c>
      <c r="E31" s="4">
        <v>120</v>
      </c>
      <c r="F31" s="4">
        <v>0</v>
      </c>
      <c r="G31" s="4">
        <v>50</v>
      </c>
      <c r="H31" s="4">
        <f t="shared" si="3"/>
        <v>670</v>
      </c>
      <c r="I31" s="4">
        <f t="shared" si="4"/>
        <v>50</v>
      </c>
    </row>
    <row r="32" spans="1:9" x14ac:dyDescent="0.25">
      <c r="A32" s="71" t="s">
        <v>199</v>
      </c>
      <c r="B32" s="71"/>
      <c r="C32" s="4">
        <v>400</v>
      </c>
      <c r="D32" s="4">
        <v>50</v>
      </c>
      <c r="E32" s="4">
        <v>0</v>
      </c>
      <c r="F32" s="4">
        <v>0</v>
      </c>
      <c r="G32" s="4">
        <v>50</v>
      </c>
      <c r="H32" s="4">
        <f t="shared" si="3"/>
        <v>500</v>
      </c>
      <c r="I32" s="4">
        <f t="shared" si="4"/>
        <v>220</v>
      </c>
    </row>
    <row r="33" spans="1:9" s="2" customFormat="1" x14ac:dyDescent="0.25">
      <c r="A33" s="71" t="s">
        <v>28</v>
      </c>
      <c r="B33" s="71"/>
      <c r="C33" s="3">
        <f t="shared" ref="C33:I33" si="5">SUM(C21:C32)</f>
        <v>1050</v>
      </c>
      <c r="D33" s="3">
        <f t="shared" si="5"/>
        <v>740</v>
      </c>
      <c r="E33" s="3">
        <f t="shared" si="5"/>
        <v>1300</v>
      </c>
      <c r="F33" s="3">
        <f t="shared" si="5"/>
        <v>580</v>
      </c>
      <c r="G33" s="3">
        <f t="shared" si="5"/>
        <v>600</v>
      </c>
      <c r="H33" s="3">
        <f t="shared" si="5"/>
        <v>4270</v>
      </c>
      <c r="I33" s="3">
        <f t="shared" si="5"/>
        <v>4370</v>
      </c>
    </row>
    <row r="35" spans="1:9" x14ac:dyDescent="0.25">
      <c r="A35" s="2" t="s">
        <v>272</v>
      </c>
      <c r="B35" s="2"/>
      <c r="C35" s="2"/>
      <c r="D35" s="2"/>
      <c r="E35" s="2"/>
      <c r="F35" s="2"/>
      <c r="G35" s="2"/>
      <c r="H35" s="6"/>
      <c r="I35" s="9"/>
    </row>
    <row r="36" spans="1:9" x14ac:dyDescent="0.25">
      <c r="A36" s="16" t="s">
        <v>184</v>
      </c>
      <c r="B36" s="16"/>
      <c r="C36" s="28" t="s">
        <v>214</v>
      </c>
      <c r="D36" s="28" t="s">
        <v>215</v>
      </c>
      <c r="E36" s="28" t="s">
        <v>216</v>
      </c>
      <c r="F36" s="28" t="s">
        <v>217</v>
      </c>
      <c r="G36" s="28" t="s">
        <v>218</v>
      </c>
      <c r="H36" s="15" t="s">
        <v>28</v>
      </c>
      <c r="I36" s="21"/>
    </row>
    <row r="37" spans="1:9" x14ac:dyDescent="0.25">
      <c r="A37" s="13" t="s">
        <v>188</v>
      </c>
      <c r="B37" s="14"/>
      <c r="C37" s="22"/>
      <c r="D37" s="23">
        <f>-((Cálculo!F105-Cálculo!F104)/36*Cálculo!C53)</f>
        <v>0</v>
      </c>
      <c r="E37" s="23"/>
      <c r="F37" s="23"/>
      <c r="G37" s="23">
        <f t="shared" ref="G37:G43" si="6">G$47</f>
        <v>0</v>
      </c>
      <c r="H37" s="24">
        <f>SUM(C37:G37)</f>
        <v>0</v>
      </c>
      <c r="I37" s="10"/>
    </row>
    <row r="38" spans="1:9" x14ac:dyDescent="0.25">
      <c r="A38" s="11" t="s">
        <v>189</v>
      </c>
      <c r="B38" s="12"/>
      <c r="C38" s="22"/>
      <c r="D38" s="23"/>
      <c r="E38" s="23"/>
      <c r="F38" s="23"/>
      <c r="G38" s="23">
        <f t="shared" si="6"/>
        <v>0</v>
      </c>
      <c r="H38" s="24">
        <f t="shared" ref="H38:H48" si="7">SUM(C38:G38)</f>
        <v>0</v>
      </c>
      <c r="I38" s="10"/>
    </row>
    <row r="39" spans="1:9" x14ac:dyDescent="0.25">
      <c r="A39" s="17" t="s">
        <v>190</v>
      </c>
      <c r="B39" s="18"/>
      <c r="C39" s="22"/>
      <c r="D39" s="23">
        <f>Cálculo!G52*(1-Cálculo!C104)</f>
        <v>0</v>
      </c>
      <c r="E39" s="23"/>
      <c r="F39" s="23">
        <f>-Cálculo!F128</f>
        <v>0</v>
      </c>
      <c r="G39" s="23">
        <f t="shared" si="6"/>
        <v>0</v>
      </c>
      <c r="H39" s="24">
        <f t="shared" si="7"/>
        <v>0</v>
      </c>
      <c r="I39" s="10"/>
    </row>
    <row r="40" spans="1:9" x14ac:dyDescent="0.25">
      <c r="A40" s="11" t="s">
        <v>191</v>
      </c>
      <c r="B40" s="12"/>
      <c r="C40" s="22"/>
      <c r="D40" s="23"/>
      <c r="E40" s="23">
        <f>-Cálculo!F119</f>
        <v>0</v>
      </c>
      <c r="F40" s="23"/>
      <c r="G40" s="23">
        <f t="shared" si="6"/>
        <v>0</v>
      </c>
      <c r="H40" s="24">
        <f t="shared" si="7"/>
        <v>0</v>
      </c>
      <c r="I40" s="10"/>
    </row>
    <row r="41" spans="1:9" x14ac:dyDescent="0.25">
      <c r="A41" s="17" t="s">
        <v>192</v>
      </c>
      <c r="B41" s="18"/>
      <c r="C41" s="22">
        <f>Cálculo!G51*(1-Cálculo!C104)</f>
        <v>0</v>
      </c>
      <c r="D41" s="23"/>
      <c r="E41" s="23"/>
      <c r="F41" s="23"/>
      <c r="G41" s="23">
        <f t="shared" si="6"/>
        <v>0</v>
      </c>
      <c r="H41" s="24">
        <f t="shared" si="7"/>
        <v>0</v>
      </c>
      <c r="I41" s="10"/>
    </row>
    <row r="42" spans="1:9" x14ac:dyDescent="0.25">
      <c r="A42" s="11" t="s">
        <v>193</v>
      </c>
      <c r="B42" s="12"/>
      <c r="C42" s="22"/>
      <c r="D42" s="23"/>
      <c r="E42" s="23"/>
      <c r="F42" s="23"/>
      <c r="G42" s="23">
        <f t="shared" si="6"/>
        <v>0</v>
      </c>
      <c r="H42" s="24">
        <f t="shared" si="7"/>
        <v>0</v>
      </c>
      <c r="I42" s="10"/>
    </row>
    <row r="43" spans="1:9" x14ac:dyDescent="0.25">
      <c r="A43" s="17" t="s">
        <v>194</v>
      </c>
      <c r="B43" s="18"/>
      <c r="C43" s="22"/>
      <c r="D43" s="23">
        <f>Cálculo!G53*(1-Cálculo!C104)</f>
        <v>0</v>
      </c>
      <c r="E43" s="23"/>
      <c r="F43" s="23"/>
      <c r="G43" s="23">
        <f t="shared" si="6"/>
        <v>0</v>
      </c>
      <c r="H43" s="24">
        <f t="shared" si="7"/>
        <v>0</v>
      </c>
      <c r="I43" s="10"/>
    </row>
    <row r="44" spans="1:9" x14ac:dyDescent="0.25">
      <c r="A44" s="11" t="s">
        <v>195</v>
      </c>
      <c r="B44" s="12"/>
      <c r="C44" s="22"/>
      <c r="D44" s="23">
        <f>-((Cálculo!F105-Cálculo!F104)/36*Cálculo!C52)</f>
        <v>0</v>
      </c>
      <c r="E44" s="23"/>
      <c r="F44" s="23"/>
      <c r="G44" s="23">
        <f>G$47</f>
        <v>0</v>
      </c>
      <c r="H44" s="24">
        <f t="shared" si="7"/>
        <v>0</v>
      </c>
      <c r="I44" s="10"/>
    </row>
    <row r="45" spans="1:9" x14ac:dyDescent="0.25">
      <c r="A45" s="17" t="s">
        <v>196</v>
      </c>
      <c r="B45" s="18"/>
      <c r="C45" s="22">
        <f>-(Cálculo!F91-Cálculo!F90)</f>
        <v>0</v>
      </c>
      <c r="D45" s="23"/>
      <c r="E45" s="23"/>
      <c r="F45" s="23"/>
      <c r="G45" s="23">
        <f>-(Cálculo!F132+Cálculo!F133)</f>
        <v>0</v>
      </c>
      <c r="H45" s="24">
        <f t="shared" si="7"/>
        <v>0</v>
      </c>
      <c r="I45" s="10"/>
    </row>
    <row r="46" spans="1:9" x14ac:dyDescent="0.25">
      <c r="A46" s="11" t="s">
        <v>197</v>
      </c>
      <c r="B46" s="12"/>
      <c r="C46" s="22"/>
      <c r="D46" s="23"/>
      <c r="E46" s="23"/>
      <c r="F46" s="23">
        <f>Cálculo!G55</f>
        <v>0</v>
      </c>
      <c r="G46" s="23">
        <f>G47</f>
        <v>0</v>
      </c>
      <c r="H46" s="24">
        <f t="shared" si="7"/>
        <v>0</v>
      </c>
      <c r="I46" s="10"/>
    </row>
    <row r="47" spans="1:9" x14ac:dyDescent="0.25">
      <c r="A47" s="17" t="s">
        <v>198</v>
      </c>
      <c r="B47" s="18"/>
      <c r="C47" s="22"/>
      <c r="D47" s="23"/>
      <c r="E47" s="23">
        <f>Cálculo!G54</f>
        <v>0</v>
      </c>
      <c r="F47" s="23"/>
      <c r="G47" s="23">
        <f>-Cálculo!F134/10</f>
        <v>0</v>
      </c>
      <c r="H47" s="24">
        <f t="shared" si="7"/>
        <v>0</v>
      </c>
      <c r="I47" s="10"/>
    </row>
    <row r="48" spans="1:9" x14ac:dyDescent="0.25">
      <c r="A48" s="11" t="s">
        <v>199</v>
      </c>
      <c r="B48" s="12"/>
      <c r="C48" s="22"/>
      <c r="D48" s="23"/>
      <c r="E48" s="23"/>
      <c r="F48" s="23"/>
      <c r="G48" s="23">
        <f>-(Cálculo!F138-Cálculo!F132-Cálculo!F133-Cálculo!F134)</f>
        <v>0</v>
      </c>
      <c r="H48" s="24">
        <f t="shared" si="7"/>
        <v>0</v>
      </c>
      <c r="I48" s="10"/>
    </row>
    <row r="49" spans="1:9" x14ac:dyDescent="0.25">
      <c r="A49" s="19" t="s">
        <v>28</v>
      </c>
      <c r="B49" s="20"/>
      <c r="C49" s="25">
        <f>SUM(C37:C48)</f>
        <v>0</v>
      </c>
      <c r="D49" s="26">
        <f>SUM(D37:D48)</f>
        <v>0</v>
      </c>
      <c r="E49" s="26">
        <f>SUM(E37:E48)</f>
        <v>0</v>
      </c>
      <c r="F49" s="26">
        <f>SUM(F37:F48)</f>
        <v>0</v>
      </c>
      <c r="G49" s="26">
        <f>SUM(G37:G48)</f>
        <v>0</v>
      </c>
      <c r="H49" s="27"/>
      <c r="I49" s="21"/>
    </row>
  </sheetData>
  <mergeCells count="27">
    <mergeCell ref="A31:B31"/>
    <mergeCell ref="A32:B32"/>
    <mergeCell ref="A33:B33"/>
    <mergeCell ref="A27:B27"/>
    <mergeCell ref="A28:B28"/>
    <mergeCell ref="A29:B29"/>
    <mergeCell ref="A30:B30"/>
    <mergeCell ref="A22:B22"/>
    <mergeCell ref="A23:B23"/>
    <mergeCell ref="A24:B24"/>
    <mergeCell ref="A25:B25"/>
    <mergeCell ref="A26:B26"/>
    <mergeCell ref="A14:B14"/>
    <mergeCell ref="A15:B15"/>
    <mergeCell ref="A16:B16"/>
    <mergeCell ref="A20:B20"/>
    <mergeCell ref="A21:B21"/>
    <mergeCell ref="A9:B9"/>
    <mergeCell ref="A10:B10"/>
    <mergeCell ref="A11:B11"/>
    <mergeCell ref="A12:B12"/>
    <mergeCell ref="A13:B13"/>
    <mergeCell ref="A4:B4"/>
    <mergeCell ref="A5:B5"/>
    <mergeCell ref="A6:B6"/>
    <mergeCell ref="A7:B7"/>
    <mergeCell ref="A8:B8"/>
  </mergeCells>
  <phoneticPr fontId="0" type="noConversion"/>
  <pageMargins left="0.39370078740157483" right="0.39370078740157483" top="0.39370078740157483" bottom="0.39370078740157483" header="0" footer="0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E21" workbookViewId="0">
      <selection activeCell="P26" sqref="P26"/>
    </sheetView>
  </sheetViews>
  <sheetFormatPr defaultRowHeight="12.75" x14ac:dyDescent="0.2"/>
  <sheetData/>
  <phoneticPr fontId="0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72"/>
  <sheetViews>
    <sheetView showGridLines="0" zoomScale="90" zoomScaleNormal="90" workbookViewId="0">
      <selection activeCell="B10" sqref="B10:D10"/>
    </sheetView>
  </sheetViews>
  <sheetFormatPr defaultRowHeight="15.75" x14ac:dyDescent="0.25"/>
  <cols>
    <col min="1" max="1" width="4.42578125" style="41" customWidth="1"/>
    <col min="2" max="2" width="17.7109375" style="53" customWidth="1"/>
    <col min="3" max="3" width="20.7109375" style="36" customWidth="1"/>
    <col min="4" max="4" width="19.85546875" style="36" customWidth="1"/>
    <col min="5" max="5" width="24.140625" style="36" customWidth="1"/>
    <col min="6" max="6" width="20.140625" style="36" customWidth="1"/>
    <col min="7" max="7" width="15.28515625" style="36" customWidth="1"/>
    <col min="8" max="8" width="12.42578125" style="36" customWidth="1"/>
    <col min="9" max="9" width="14.85546875" style="36" customWidth="1"/>
    <col min="10" max="11" width="9.140625" style="36"/>
    <col min="12" max="12" width="10.42578125" style="36" customWidth="1"/>
    <col min="13" max="13" width="9.140625" style="36"/>
    <col min="14" max="14" width="12.5703125" style="36" customWidth="1"/>
    <col min="15" max="16384" width="9.140625" style="36"/>
  </cols>
  <sheetData>
    <row r="1" spans="1:15" x14ac:dyDescent="0.25">
      <c r="A1" s="39" t="s">
        <v>268</v>
      </c>
      <c r="B1" s="33" t="s">
        <v>273</v>
      </c>
    </row>
    <row r="3" spans="1:15" x14ac:dyDescent="0.25">
      <c r="A3" s="41" t="s">
        <v>267</v>
      </c>
    </row>
    <row r="4" spans="1:15" x14ac:dyDescent="0.25">
      <c r="A4" s="41" t="s">
        <v>267</v>
      </c>
    </row>
    <row r="5" spans="1:15" x14ac:dyDescent="0.25">
      <c r="A5" s="41" t="s">
        <v>267</v>
      </c>
    </row>
    <row r="6" spans="1:15" x14ac:dyDescent="0.25">
      <c r="A6" s="41" t="s">
        <v>267</v>
      </c>
      <c r="C6" s="40"/>
      <c r="D6" s="40"/>
    </row>
    <row r="7" spans="1:15" x14ac:dyDescent="0.25">
      <c r="C7" s="40"/>
      <c r="D7" s="40"/>
    </row>
    <row r="8" spans="1:15" x14ac:dyDescent="0.25">
      <c r="B8" s="33" t="s">
        <v>0</v>
      </c>
      <c r="C8" s="40"/>
      <c r="D8" s="40"/>
    </row>
    <row r="9" spans="1:15" x14ac:dyDescent="0.25">
      <c r="B9" s="33"/>
      <c r="C9" s="40"/>
      <c r="D9" s="40"/>
      <c r="I9" s="42"/>
      <c r="J9" s="42"/>
      <c r="K9" s="42"/>
      <c r="L9" s="42"/>
      <c r="M9" s="42"/>
      <c r="N9" s="42"/>
      <c r="O9" s="42"/>
    </row>
    <row r="10" spans="1:15" x14ac:dyDescent="0.25">
      <c r="A10" s="41" t="s">
        <v>252</v>
      </c>
      <c r="B10" s="74" t="s">
        <v>5</v>
      </c>
      <c r="C10" s="75"/>
      <c r="D10" s="76"/>
      <c r="E10" s="77" t="s">
        <v>109</v>
      </c>
      <c r="F10" s="78"/>
      <c r="G10" s="79"/>
      <c r="I10" s="42"/>
      <c r="J10" s="42"/>
      <c r="K10" s="42"/>
      <c r="L10" s="42"/>
      <c r="M10" s="42"/>
      <c r="N10" s="42"/>
      <c r="O10" s="42"/>
    </row>
    <row r="11" spans="1:15" x14ac:dyDescent="0.25">
      <c r="A11" s="41" t="s">
        <v>252</v>
      </c>
      <c r="B11" s="74" t="s">
        <v>6</v>
      </c>
      <c r="C11" s="75"/>
      <c r="D11" s="76"/>
      <c r="E11" s="77" t="s">
        <v>110</v>
      </c>
      <c r="F11" s="78"/>
      <c r="G11" s="79"/>
      <c r="I11" s="42"/>
      <c r="J11" s="42"/>
      <c r="K11" s="42"/>
      <c r="L11" s="42"/>
      <c r="M11" s="42"/>
      <c r="N11" s="42"/>
      <c r="O11" s="42"/>
    </row>
    <row r="12" spans="1:15" x14ac:dyDescent="0.25">
      <c r="A12" s="41" t="s">
        <v>252</v>
      </c>
      <c r="B12" s="74" t="s">
        <v>7</v>
      </c>
      <c r="C12" s="75"/>
      <c r="D12" s="76"/>
      <c r="E12" s="77">
        <v>195</v>
      </c>
      <c r="F12" s="78"/>
      <c r="G12" s="79"/>
      <c r="I12" s="42"/>
      <c r="J12" s="42"/>
      <c r="K12" s="42"/>
      <c r="L12" s="42"/>
      <c r="M12" s="42"/>
      <c r="N12" s="42"/>
      <c r="O12" s="42"/>
    </row>
    <row r="13" spans="1:15" x14ac:dyDescent="0.25">
      <c r="A13" s="41" t="s">
        <v>252</v>
      </c>
      <c r="B13" s="74" t="s">
        <v>8</v>
      </c>
      <c r="C13" s="75"/>
      <c r="D13" s="76"/>
      <c r="E13" s="77">
        <v>0</v>
      </c>
      <c r="F13" s="78"/>
      <c r="G13" s="79"/>
      <c r="I13" s="42"/>
      <c r="J13" s="42"/>
      <c r="K13" s="42"/>
      <c r="L13" s="42"/>
      <c r="M13" s="42"/>
      <c r="N13" s="42"/>
      <c r="O13" s="42"/>
    </row>
    <row r="14" spans="1:15" x14ac:dyDescent="0.25">
      <c r="A14" s="41" t="s">
        <v>252</v>
      </c>
      <c r="B14" s="74" t="s">
        <v>9</v>
      </c>
      <c r="C14" s="75"/>
      <c r="D14" s="76"/>
      <c r="E14" s="77">
        <v>195</v>
      </c>
      <c r="F14" s="78"/>
      <c r="G14" s="79"/>
      <c r="I14" s="42"/>
      <c r="J14" s="42"/>
      <c r="K14" s="42"/>
      <c r="L14" s="42"/>
      <c r="M14" s="42"/>
      <c r="N14" s="42"/>
      <c r="O14" s="42"/>
    </row>
    <row r="15" spans="1:15" x14ac:dyDescent="0.25">
      <c r="A15" s="41" t="s">
        <v>252</v>
      </c>
      <c r="B15" s="74" t="s">
        <v>108</v>
      </c>
      <c r="C15" s="75"/>
      <c r="D15" s="76"/>
      <c r="E15" s="77">
        <v>170</v>
      </c>
      <c r="F15" s="78"/>
      <c r="G15" s="79"/>
      <c r="I15" s="42"/>
      <c r="J15" s="42"/>
      <c r="K15" s="42"/>
      <c r="L15" s="42"/>
      <c r="M15" s="42"/>
      <c r="N15" s="42"/>
      <c r="O15" s="42"/>
    </row>
    <row r="16" spans="1:15" x14ac:dyDescent="0.25">
      <c r="A16" s="41" t="s">
        <v>252</v>
      </c>
      <c r="B16" s="74" t="s">
        <v>2</v>
      </c>
      <c r="C16" s="75"/>
      <c r="D16" s="76"/>
      <c r="E16" s="77">
        <v>1.5</v>
      </c>
      <c r="F16" s="78"/>
      <c r="G16" s="79"/>
      <c r="I16" s="42"/>
      <c r="J16" s="42"/>
      <c r="K16" s="42"/>
      <c r="L16" s="42"/>
      <c r="M16" s="42"/>
      <c r="N16" s="42"/>
      <c r="O16" s="42"/>
    </row>
    <row r="17" spans="1:68" x14ac:dyDescent="0.25">
      <c r="A17" s="41" t="s">
        <v>252</v>
      </c>
      <c r="B17" s="74" t="s">
        <v>1</v>
      </c>
      <c r="C17" s="75"/>
      <c r="D17" s="76"/>
      <c r="E17" s="77">
        <v>3</v>
      </c>
      <c r="F17" s="78"/>
      <c r="G17" s="79"/>
      <c r="I17" s="42"/>
      <c r="J17" s="42"/>
      <c r="K17" s="42"/>
      <c r="L17" s="42"/>
      <c r="M17" s="42"/>
      <c r="N17" s="42"/>
      <c r="O17" s="42"/>
    </row>
    <row r="18" spans="1:68" s="40" customFormat="1" x14ac:dyDescent="0.25">
      <c r="A18" s="41" t="s">
        <v>252</v>
      </c>
      <c r="B18" s="74" t="s">
        <v>3</v>
      </c>
      <c r="C18" s="75"/>
      <c r="D18" s="76"/>
      <c r="E18" s="29" t="s">
        <v>10</v>
      </c>
      <c r="F18" s="29" t="s">
        <v>11</v>
      </c>
      <c r="G18" s="29"/>
      <c r="H18" s="36"/>
      <c r="I18" s="42"/>
      <c r="J18" s="42"/>
      <c r="K18" s="42"/>
      <c r="L18" s="42"/>
      <c r="M18" s="42"/>
      <c r="N18" s="42"/>
      <c r="O18" s="42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</row>
    <row r="19" spans="1:68" x14ac:dyDescent="0.25">
      <c r="A19" s="41" t="s">
        <v>253</v>
      </c>
      <c r="B19" s="80" t="s">
        <v>12</v>
      </c>
      <c r="C19" s="81"/>
      <c r="D19" s="82"/>
      <c r="E19" s="43" t="s">
        <v>111</v>
      </c>
      <c r="F19" s="30" t="s">
        <v>167</v>
      </c>
      <c r="G19" s="30"/>
      <c r="I19" s="42"/>
      <c r="J19" s="42"/>
      <c r="K19" s="42"/>
      <c r="L19" s="42"/>
      <c r="M19" s="42"/>
      <c r="N19" s="42"/>
      <c r="O19" s="42"/>
    </row>
    <row r="20" spans="1:68" x14ac:dyDescent="0.25">
      <c r="A20" s="41" t="s">
        <v>253</v>
      </c>
      <c r="B20" s="83"/>
      <c r="C20" s="84"/>
      <c r="D20" s="85"/>
      <c r="E20" s="43" t="s">
        <v>80</v>
      </c>
      <c r="F20" s="30" t="s">
        <v>19</v>
      </c>
      <c r="G20" s="30"/>
      <c r="I20" s="42"/>
      <c r="J20" s="42"/>
      <c r="K20" s="42"/>
      <c r="L20" s="42"/>
      <c r="M20" s="42"/>
      <c r="N20" s="42"/>
      <c r="O20" s="42"/>
    </row>
    <row r="21" spans="1:68" x14ac:dyDescent="0.25">
      <c r="A21" s="41" t="s">
        <v>253</v>
      </c>
      <c r="B21" s="83"/>
      <c r="C21" s="84"/>
      <c r="D21" s="85"/>
      <c r="E21" s="43"/>
      <c r="F21" s="30"/>
      <c r="G21" s="30"/>
      <c r="I21" s="42"/>
      <c r="J21" s="42"/>
      <c r="K21" s="42"/>
      <c r="L21" s="42"/>
      <c r="M21" s="42"/>
      <c r="N21" s="42"/>
      <c r="O21" s="42"/>
    </row>
    <row r="22" spans="1:68" s="40" customFormat="1" x14ac:dyDescent="0.25">
      <c r="A22" s="41" t="s">
        <v>253</v>
      </c>
      <c r="B22" s="83"/>
      <c r="C22" s="84"/>
      <c r="D22" s="85"/>
      <c r="E22" s="75" t="s">
        <v>13</v>
      </c>
      <c r="F22" s="76"/>
      <c r="G22" s="29"/>
      <c r="H22" s="36"/>
      <c r="I22" s="42"/>
      <c r="J22" s="42"/>
      <c r="K22" s="42"/>
      <c r="L22" s="42"/>
      <c r="M22" s="42"/>
      <c r="N22" s="42"/>
      <c r="O22" s="42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</row>
    <row r="23" spans="1:68" x14ac:dyDescent="0.25">
      <c r="A23" s="41" t="s">
        <v>253</v>
      </c>
      <c r="B23" s="83"/>
      <c r="C23" s="84"/>
      <c r="D23" s="85"/>
      <c r="E23" s="78" t="s">
        <v>112</v>
      </c>
      <c r="F23" s="79"/>
      <c r="G23" s="30"/>
      <c r="I23" s="42"/>
      <c r="J23" s="42"/>
      <c r="K23" s="42"/>
      <c r="L23" s="42"/>
      <c r="M23" s="42"/>
      <c r="N23" s="42"/>
      <c r="O23" s="42"/>
    </row>
    <row r="24" spans="1:68" x14ac:dyDescent="0.25">
      <c r="A24" s="41" t="s">
        <v>253</v>
      </c>
      <c r="B24" s="83"/>
      <c r="C24" s="84"/>
      <c r="D24" s="85"/>
      <c r="E24" s="78" t="s">
        <v>113</v>
      </c>
      <c r="F24" s="79"/>
      <c r="G24" s="30"/>
      <c r="I24" s="42"/>
      <c r="J24" s="42"/>
      <c r="K24" s="42"/>
      <c r="L24" s="42"/>
      <c r="M24" s="42"/>
      <c r="N24" s="42"/>
    </row>
    <row r="25" spans="1:68" x14ac:dyDescent="0.25">
      <c r="A25" s="41" t="s">
        <v>253</v>
      </c>
      <c r="B25" s="83"/>
      <c r="C25" s="84"/>
      <c r="D25" s="85"/>
      <c r="E25" s="78" t="s">
        <v>116</v>
      </c>
      <c r="F25" s="79"/>
      <c r="G25" s="30"/>
      <c r="I25" s="42"/>
      <c r="J25" s="42"/>
      <c r="K25" s="42"/>
      <c r="L25" s="42"/>
      <c r="M25" s="42"/>
      <c r="N25" s="42"/>
    </row>
    <row r="26" spans="1:68" x14ac:dyDescent="0.25">
      <c r="A26" s="41" t="s">
        <v>253</v>
      </c>
      <c r="B26" s="83"/>
      <c r="C26" s="84"/>
      <c r="D26" s="85"/>
      <c r="E26" s="78" t="s">
        <v>114</v>
      </c>
      <c r="F26" s="79"/>
      <c r="G26" s="30"/>
      <c r="I26" s="42"/>
      <c r="J26" s="42"/>
      <c r="K26" s="42"/>
      <c r="L26" s="42"/>
      <c r="M26" s="42"/>
      <c r="N26" s="42"/>
    </row>
    <row r="27" spans="1:68" x14ac:dyDescent="0.25">
      <c r="A27" s="41" t="s">
        <v>253</v>
      </c>
      <c r="B27" s="83"/>
      <c r="C27" s="84"/>
      <c r="D27" s="85"/>
      <c r="E27" s="78" t="s">
        <v>115</v>
      </c>
      <c r="F27" s="79"/>
      <c r="G27" s="30"/>
      <c r="I27" s="42"/>
      <c r="J27" s="42"/>
      <c r="K27" s="42"/>
      <c r="L27" s="42"/>
      <c r="M27" s="42"/>
      <c r="N27" s="42"/>
    </row>
    <row r="28" spans="1:68" x14ac:dyDescent="0.25">
      <c r="A28" s="41" t="s">
        <v>253</v>
      </c>
      <c r="B28" s="83"/>
      <c r="C28" s="84"/>
      <c r="D28" s="85"/>
      <c r="E28" s="78" t="s">
        <v>120</v>
      </c>
      <c r="F28" s="79"/>
      <c r="G28" s="30"/>
      <c r="I28" s="42"/>
      <c r="J28" s="42"/>
      <c r="K28" s="42"/>
      <c r="L28" s="42"/>
      <c r="M28" s="42"/>
      <c r="N28" s="42"/>
    </row>
    <row r="29" spans="1:68" x14ac:dyDescent="0.25">
      <c r="A29" s="41" t="s">
        <v>253</v>
      </c>
      <c r="B29" s="83"/>
      <c r="C29" s="84"/>
      <c r="D29" s="85"/>
      <c r="E29" s="78" t="s">
        <v>117</v>
      </c>
      <c r="F29" s="79"/>
      <c r="G29" s="30"/>
      <c r="I29" s="42"/>
      <c r="J29" s="42"/>
      <c r="K29" s="42"/>
      <c r="L29" s="42"/>
      <c r="M29" s="42"/>
      <c r="N29" s="42"/>
    </row>
    <row r="30" spans="1:68" x14ac:dyDescent="0.25">
      <c r="A30" s="41" t="s">
        <v>253</v>
      </c>
      <c r="B30" s="86"/>
      <c r="C30" s="87"/>
      <c r="D30" s="88"/>
      <c r="E30" s="30"/>
      <c r="F30" s="30"/>
      <c r="G30" s="30"/>
    </row>
    <row r="31" spans="1:68" x14ac:dyDescent="0.25">
      <c r="A31" s="41" t="s">
        <v>254</v>
      </c>
      <c r="B31" s="80" t="s">
        <v>278</v>
      </c>
      <c r="C31" s="81"/>
      <c r="D31" s="82"/>
      <c r="E31" s="29" t="s">
        <v>279</v>
      </c>
      <c r="F31" s="29" t="s">
        <v>280</v>
      </c>
      <c r="G31" s="29" t="s">
        <v>281</v>
      </c>
    </row>
    <row r="32" spans="1:68" x14ac:dyDescent="0.25">
      <c r="A32" s="41" t="s">
        <v>254</v>
      </c>
      <c r="B32" s="86"/>
      <c r="C32" s="87"/>
      <c r="D32" s="88"/>
      <c r="E32" s="30" t="s">
        <v>282</v>
      </c>
      <c r="F32" s="30">
        <v>2</v>
      </c>
      <c r="G32" s="30" t="s">
        <v>283</v>
      </c>
    </row>
    <row r="33" spans="1:68" s="40" customFormat="1" x14ac:dyDescent="0.25">
      <c r="A33" s="41" t="s">
        <v>254</v>
      </c>
      <c r="B33" s="80" t="s">
        <v>15</v>
      </c>
      <c r="C33" s="81"/>
      <c r="D33" s="82"/>
      <c r="E33" s="29" t="s">
        <v>17</v>
      </c>
      <c r="F33" s="29" t="s">
        <v>227</v>
      </c>
      <c r="G33" s="29" t="s">
        <v>14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</row>
    <row r="34" spans="1:68" x14ac:dyDescent="0.25">
      <c r="A34" s="41" t="s">
        <v>254</v>
      </c>
      <c r="B34" s="83"/>
      <c r="C34" s="84"/>
      <c r="D34" s="85"/>
      <c r="E34" s="30" t="s">
        <v>20</v>
      </c>
      <c r="F34" s="30">
        <v>150</v>
      </c>
      <c r="G34" s="30" t="s">
        <v>228</v>
      </c>
    </row>
    <row r="35" spans="1:68" x14ac:dyDescent="0.25">
      <c r="A35" s="41" t="s">
        <v>254</v>
      </c>
      <c r="B35" s="83"/>
      <c r="C35" s="84"/>
      <c r="D35" s="85"/>
      <c r="E35" s="30" t="s">
        <v>118</v>
      </c>
      <c r="F35" s="30">
        <v>18</v>
      </c>
      <c r="G35" s="30" t="s">
        <v>229</v>
      </c>
    </row>
    <row r="36" spans="1:68" x14ac:dyDescent="0.25">
      <c r="A36" s="41" t="s">
        <v>254</v>
      </c>
      <c r="B36" s="86"/>
      <c r="C36" s="87"/>
      <c r="D36" s="88"/>
      <c r="E36" s="30"/>
      <c r="F36" s="30"/>
      <c r="G36" s="30"/>
    </row>
    <row r="37" spans="1:68" s="40" customFormat="1" x14ac:dyDescent="0.25">
      <c r="A37" s="41" t="s">
        <v>254</v>
      </c>
      <c r="B37" s="95" t="s">
        <v>16</v>
      </c>
      <c r="C37" s="96"/>
      <c r="D37" s="97"/>
      <c r="E37" s="29" t="s">
        <v>17</v>
      </c>
      <c r="F37" s="29" t="s">
        <v>227</v>
      </c>
      <c r="G37" s="29" t="s">
        <v>14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</row>
    <row r="38" spans="1:68" x14ac:dyDescent="0.25">
      <c r="A38" s="41" t="s">
        <v>254</v>
      </c>
      <c r="B38" s="89"/>
      <c r="C38" s="90"/>
      <c r="D38" s="91"/>
      <c r="E38" s="30" t="s">
        <v>119</v>
      </c>
      <c r="F38" s="30">
        <v>100</v>
      </c>
      <c r="G38" s="30" t="s">
        <v>230</v>
      </c>
    </row>
    <row r="39" spans="1:68" x14ac:dyDescent="0.25">
      <c r="A39" s="41" t="s">
        <v>254</v>
      </c>
      <c r="B39" s="89"/>
      <c r="C39" s="90"/>
      <c r="D39" s="91"/>
      <c r="E39" s="30" t="s">
        <v>121</v>
      </c>
      <c r="F39" s="30">
        <v>50</v>
      </c>
      <c r="G39" s="30" t="s">
        <v>231</v>
      </c>
    </row>
    <row r="40" spans="1:68" x14ac:dyDescent="0.25">
      <c r="A40" s="41" t="s">
        <v>254</v>
      </c>
      <c r="B40" s="89"/>
      <c r="C40" s="90"/>
      <c r="D40" s="91"/>
      <c r="E40" s="30" t="s">
        <v>126</v>
      </c>
      <c r="F40" s="30">
        <v>18</v>
      </c>
      <c r="G40" s="30" t="s">
        <v>229</v>
      </c>
    </row>
    <row r="41" spans="1:68" x14ac:dyDescent="0.25">
      <c r="A41" s="41" t="s">
        <v>254</v>
      </c>
      <c r="B41" s="92"/>
      <c r="C41" s="93"/>
      <c r="D41" s="94"/>
      <c r="E41" s="30"/>
      <c r="F41" s="30"/>
      <c r="G41" s="30"/>
    </row>
    <row r="42" spans="1:68" s="40" customFormat="1" x14ac:dyDescent="0.25">
      <c r="A42" s="41" t="s">
        <v>254</v>
      </c>
      <c r="B42" s="95" t="s">
        <v>4</v>
      </c>
      <c r="C42" s="96"/>
      <c r="D42" s="97"/>
      <c r="E42" s="29" t="s">
        <v>17</v>
      </c>
      <c r="F42" s="29" t="s">
        <v>227</v>
      </c>
      <c r="G42" s="29" t="s">
        <v>14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</row>
    <row r="43" spans="1:68" x14ac:dyDescent="0.25">
      <c r="A43" s="41" t="s">
        <v>254</v>
      </c>
      <c r="B43" s="89" t="s">
        <v>18</v>
      </c>
      <c r="C43" s="90"/>
      <c r="D43" s="91"/>
      <c r="E43" s="30" t="s">
        <v>21</v>
      </c>
      <c r="F43" s="30">
        <v>2</v>
      </c>
      <c r="G43" s="30"/>
    </row>
    <row r="44" spans="1:68" x14ac:dyDescent="0.25">
      <c r="A44" s="41" t="s">
        <v>254</v>
      </c>
      <c r="B44" s="92"/>
      <c r="C44" s="93"/>
      <c r="D44" s="94"/>
      <c r="E44" s="30"/>
      <c r="F44" s="30"/>
      <c r="G44" s="30"/>
    </row>
    <row r="46" spans="1:68" x14ac:dyDescent="0.25">
      <c r="B46" s="33" t="s">
        <v>22</v>
      </c>
      <c r="C46" s="40"/>
      <c r="D46" s="40"/>
    </row>
    <row r="47" spans="1:68" x14ac:dyDescent="0.25">
      <c r="B47" s="33" t="s">
        <v>23</v>
      </c>
      <c r="C47" s="40"/>
      <c r="D47" s="40"/>
    </row>
    <row r="49" spans="1:68" x14ac:dyDescent="0.25">
      <c r="A49" s="41" t="s">
        <v>255</v>
      </c>
      <c r="B49" s="33" t="s">
        <v>24</v>
      </c>
    </row>
    <row r="50" spans="1:68" x14ac:dyDescent="0.25">
      <c r="A50" s="41" t="s">
        <v>255</v>
      </c>
      <c r="B50" s="54" t="s">
        <v>25</v>
      </c>
      <c r="C50" s="29" t="s">
        <v>227</v>
      </c>
      <c r="D50" s="29" t="s">
        <v>232</v>
      </c>
      <c r="E50" s="29" t="s">
        <v>125</v>
      </c>
      <c r="F50" s="29" t="s">
        <v>31</v>
      </c>
      <c r="G50" s="29" t="s">
        <v>27</v>
      </c>
    </row>
    <row r="51" spans="1:68" s="40" customFormat="1" x14ac:dyDescent="0.25">
      <c r="A51" s="41" t="s">
        <v>255</v>
      </c>
      <c r="B51" s="55" t="s">
        <v>30</v>
      </c>
      <c r="C51" s="58"/>
      <c r="D51" s="58"/>
      <c r="E51" s="58"/>
      <c r="F51" s="31">
        <v>41.5</v>
      </c>
      <c r="G51" s="58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</row>
    <row r="52" spans="1:68" x14ac:dyDescent="0.25">
      <c r="A52" s="41" t="s">
        <v>255</v>
      </c>
      <c r="B52" s="55" t="s">
        <v>122</v>
      </c>
      <c r="C52" s="58"/>
      <c r="D52" s="58"/>
      <c r="E52" s="58"/>
      <c r="F52" s="31">
        <v>18</v>
      </c>
      <c r="G52" s="58"/>
    </row>
    <row r="53" spans="1:68" x14ac:dyDescent="0.25">
      <c r="A53" s="41" t="s">
        <v>255</v>
      </c>
      <c r="B53" s="55" t="s">
        <v>211</v>
      </c>
      <c r="C53" s="58"/>
      <c r="D53" s="58"/>
      <c r="E53" s="58"/>
      <c r="F53" s="31">
        <v>18</v>
      </c>
      <c r="G53" s="58"/>
    </row>
    <row r="54" spans="1:68" x14ac:dyDescent="0.25">
      <c r="A54" s="41" t="s">
        <v>255</v>
      </c>
      <c r="B54" s="55" t="s">
        <v>123</v>
      </c>
      <c r="C54" s="58"/>
      <c r="D54" s="58"/>
      <c r="E54" s="58"/>
      <c r="F54" s="31">
        <v>22.5</v>
      </c>
      <c r="G54" s="58"/>
    </row>
    <row r="55" spans="1:68" x14ac:dyDescent="0.25">
      <c r="A55" s="41" t="s">
        <v>255</v>
      </c>
      <c r="B55" s="55" t="s">
        <v>124</v>
      </c>
      <c r="C55" s="58"/>
      <c r="D55" s="58"/>
      <c r="E55" s="58"/>
      <c r="F55" s="31">
        <v>12.5</v>
      </c>
      <c r="G55" s="58"/>
    </row>
    <row r="56" spans="1:68" x14ac:dyDescent="0.25">
      <c r="A56" s="41" t="s">
        <v>255</v>
      </c>
      <c r="B56" s="54" t="s">
        <v>28</v>
      </c>
      <c r="C56" s="32"/>
      <c r="D56" s="32">
        <f>SUM(D51:D55)</f>
        <v>0</v>
      </c>
      <c r="E56" s="31">
        <f>SUM(E51:E55)</f>
        <v>0</v>
      </c>
      <c r="F56" s="32"/>
      <c r="G56" s="32">
        <f>SUM(G51:G55)</f>
        <v>0</v>
      </c>
    </row>
    <row r="57" spans="1:68" x14ac:dyDescent="0.25">
      <c r="B57" s="37"/>
      <c r="C57" s="45"/>
      <c r="D57" s="45"/>
      <c r="E57" s="46"/>
      <c r="F57" s="45"/>
      <c r="G57" s="45"/>
    </row>
    <row r="58" spans="1:68" x14ac:dyDescent="0.25">
      <c r="A58" s="41" t="s">
        <v>256</v>
      </c>
      <c r="B58" s="33" t="s">
        <v>29</v>
      </c>
      <c r="C58" s="40"/>
      <c r="D58" s="40"/>
    </row>
    <row r="59" spans="1:68" x14ac:dyDescent="0.25">
      <c r="A59" s="41" t="s">
        <v>256</v>
      </c>
      <c r="B59" s="54" t="s">
        <v>25</v>
      </c>
      <c r="C59" s="29" t="s">
        <v>40</v>
      </c>
      <c r="D59" s="29" t="s">
        <v>32</v>
      </c>
      <c r="E59" s="29" t="s">
        <v>26</v>
      </c>
      <c r="F59" s="29" t="s">
        <v>27</v>
      </c>
    </row>
    <row r="60" spans="1:68" x14ac:dyDescent="0.25">
      <c r="A60" s="41" t="s">
        <v>256</v>
      </c>
      <c r="B60" s="55" t="s">
        <v>33</v>
      </c>
      <c r="C60" s="30" t="s">
        <v>41</v>
      </c>
      <c r="D60" s="30">
        <v>400</v>
      </c>
      <c r="E60" s="31">
        <v>3.5</v>
      </c>
      <c r="F60" s="58"/>
    </row>
    <row r="61" spans="1:68" x14ac:dyDescent="0.25">
      <c r="A61" s="41" t="s">
        <v>256</v>
      </c>
      <c r="B61" s="55" t="s">
        <v>127</v>
      </c>
      <c r="C61" s="30" t="s">
        <v>41</v>
      </c>
      <c r="D61" s="30">
        <v>100</v>
      </c>
      <c r="E61" s="31">
        <v>0.85</v>
      </c>
      <c r="F61" s="58"/>
    </row>
    <row r="62" spans="1:68" x14ac:dyDescent="0.25">
      <c r="A62" s="41" t="s">
        <v>256</v>
      </c>
      <c r="B62" s="55" t="s">
        <v>34</v>
      </c>
      <c r="C62" s="30" t="s">
        <v>41</v>
      </c>
      <c r="D62" s="30">
        <v>140</v>
      </c>
      <c r="E62" s="31">
        <v>2</v>
      </c>
      <c r="F62" s="58"/>
    </row>
    <row r="63" spans="1:68" x14ac:dyDescent="0.25">
      <c r="A63" s="41" t="s">
        <v>256</v>
      </c>
      <c r="B63" s="55" t="s">
        <v>35</v>
      </c>
      <c r="C63" s="30" t="s">
        <v>42</v>
      </c>
      <c r="D63" s="30">
        <v>160</v>
      </c>
      <c r="E63" s="31">
        <v>1.5</v>
      </c>
      <c r="F63" s="58"/>
    </row>
    <row r="64" spans="1:68" x14ac:dyDescent="0.25">
      <c r="A64" s="41" t="s">
        <v>256</v>
      </c>
      <c r="B64" s="55" t="s">
        <v>36</v>
      </c>
      <c r="C64" s="30" t="s">
        <v>43</v>
      </c>
      <c r="D64" s="30">
        <v>730</v>
      </c>
      <c r="E64" s="31">
        <v>0.6</v>
      </c>
      <c r="F64" s="58"/>
    </row>
    <row r="65" spans="1:68" x14ac:dyDescent="0.25">
      <c r="A65" s="41" t="s">
        <v>256</v>
      </c>
      <c r="B65" s="54" t="s">
        <v>28</v>
      </c>
      <c r="C65" s="29"/>
      <c r="D65" s="29">
        <f>SUM(D60:D64)</f>
        <v>1530</v>
      </c>
      <c r="E65" s="29"/>
      <c r="F65" s="29">
        <f>SUM(F60:F64)</f>
        <v>0</v>
      </c>
      <c r="G65" s="40"/>
    </row>
    <row r="66" spans="1:68" s="40" customFormat="1" x14ac:dyDescent="0.25">
      <c r="A66" s="41"/>
      <c r="B66" s="53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</row>
    <row r="67" spans="1:68" x14ac:dyDescent="0.25">
      <c r="A67" s="41" t="s">
        <v>257</v>
      </c>
      <c r="B67" s="33" t="s">
        <v>37</v>
      </c>
    </row>
    <row r="68" spans="1:68" x14ac:dyDescent="0.25">
      <c r="A68" s="41" t="s">
        <v>257</v>
      </c>
      <c r="B68" s="72" t="s">
        <v>38</v>
      </c>
      <c r="C68" s="98"/>
      <c r="D68" s="73"/>
      <c r="E68" s="59"/>
    </row>
    <row r="69" spans="1:68" x14ac:dyDescent="0.25">
      <c r="A69" s="41" t="s">
        <v>257</v>
      </c>
      <c r="B69" s="72" t="s">
        <v>39</v>
      </c>
      <c r="C69" s="98"/>
      <c r="D69" s="73"/>
      <c r="E69" s="59"/>
    </row>
    <row r="70" spans="1:68" x14ac:dyDescent="0.25">
      <c r="A70" s="41" t="s">
        <v>257</v>
      </c>
      <c r="B70" s="99" t="s">
        <v>28</v>
      </c>
      <c r="C70" s="100"/>
      <c r="D70" s="101"/>
      <c r="E70" s="60"/>
      <c r="F70" s="40"/>
      <c r="G70" s="40"/>
    </row>
    <row r="71" spans="1:68" s="40" customFormat="1" x14ac:dyDescent="0.25">
      <c r="A71" s="41"/>
      <c r="B71" s="53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</row>
    <row r="72" spans="1:68" x14ac:dyDescent="0.25">
      <c r="A72" s="41" t="s">
        <v>244</v>
      </c>
      <c r="B72" s="33" t="s">
        <v>44</v>
      </c>
    </row>
    <row r="73" spans="1:68" x14ac:dyDescent="0.25">
      <c r="A73" s="41" t="s">
        <v>244</v>
      </c>
      <c r="B73" s="33" t="s">
        <v>51</v>
      </c>
      <c r="C73" s="40" t="s">
        <v>30</v>
      </c>
      <c r="D73" s="40"/>
      <c r="E73" s="40" t="s">
        <v>233</v>
      </c>
      <c r="F73" s="40"/>
      <c r="G73" s="40"/>
    </row>
    <row r="74" spans="1:68" s="40" customFormat="1" x14ac:dyDescent="0.25">
      <c r="A74" s="41" t="s">
        <v>244</v>
      </c>
      <c r="B74" s="54" t="s">
        <v>46</v>
      </c>
      <c r="C74" s="29" t="s">
        <v>45</v>
      </c>
      <c r="D74" s="29" t="s">
        <v>40</v>
      </c>
      <c r="E74" s="29" t="s">
        <v>31</v>
      </c>
      <c r="F74" s="29" t="s">
        <v>27</v>
      </c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</row>
    <row r="75" spans="1:68" x14ac:dyDescent="0.25">
      <c r="A75" s="41" t="s">
        <v>244</v>
      </c>
      <c r="B75" s="55" t="s">
        <v>136</v>
      </c>
      <c r="C75" s="30">
        <v>1200</v>
      </c>
      <c r="D75" s="30" t="s">
        <v>47</v>
      </c>
      <c r="E75" s="31">
        <v>42</v>
      </c>
      <c r="F75" s="58"/>
    </row>
    <row r="76" spans="1:68" x14ac:dyDescent="0.25">
      <c r="A76" s="41" t="s">
        <v>244</v>
      </c>
      <c r="B76" s="55" t="s">
        <v>178</v>
      </c>
      <c r="C76" s="30">
        <v>450</v>
      </c>
      <c r="D76" s="30" t="s">
        <v>179</v>
      </c>
      <c r="E76" s="31">
        <v>65</v>
      </c>
      <c r="F76" s="58"/>
    </row>
    <row r="77" spans="1:68" x14ac:dyDescent="0.25">
      <c r="A77" s="41" t="s">
        <v>244</v>
      </c>
      <c r="B77" s="55" t="s">
        <v>49</v>
      </c>
      <c r="C77" s="30">
        <f>150*6</f>
        <v>900</v>
      </c>
      <c r="D77" s="30" t="s">
        <v>48</v>
      </c>
      <c r="E77" s="31">
        <v>12.5</v>
      </c>
      <c r="F77" s="58"/>
    </row>
    <row r="78" spans="1:68" x14ac:dyDescent="0.25">
      <c r="A78" s="41" t="s">
        <v>244</v>
      </c>
      <c r="B78" s="55" t="s">
        <v>140</v>
      </c>
      <c r="C78" s="30">
        <v>75</v>
      </c>
      <c r="D78" s="30" t="s">
        <v>48</v>
      </c>
      <c r="E78" s="31">
        <v>8</v>
      </c>
      <c r="F78" s="58"/>
    </row>
    <row r="79" spans="1:68" x14ac:dyDescent="0.25">
      <c r="A79" s="41" t="s">
        <v>244</v>
      </c>
      <c r="B79" s="55" t="s">
        <v>165</v>
      </c>
      <c r="C79" s="30">
        <v>23</v>
      </c>
      <c r="D79" s="30" t="s">
        <v>48</v>
      </c>
      <c r="E79" s="31">
        <v>65</v>
      </c>
      <c r="F79" s="58"/>
    </row>
    <row r="80" spans="1:68" x14ac:dyDescent="0.25">
      <c r="A80" s="41" t="s">
        <v>244</v>
      </c>
      <c r="B80" s="55" t="s">
        <v>128</v>
      </c>
      <c r="C80" s="30">
        <v>40</v>
      </c>
      <c r="D80" s="30" t="s">
        <v>48</v>
      </c>
      <c r="E80" s="31">
        <v>68</v>
      </c>
      <c r="F80" s="58"/>
    </row>
    <row r="81" spans="1:68" x14ac:dyDescent="0.25">
      <c r="A81" s="41" t="s">
        <v>244</v>
      </c>
      <c r="B81" s="55" t="s">
        <v>138</v>
      </c>
      <c r="C81" s="30">
        <v>300</v>
      </c>
      <c r="D81" s="30" t="s">
        <v>139</v>
      </c>
      <c r="E81" s="31">
        <v>4</v>
      </c>
      <c r="F81" s="58"/>
    </row>
    <row r="82" spans="1:68" x14ac:dyDescent="0.25">
      <c r="A82" s="41" t="s">
        <v>244</v>
      </c>
      <c r="B82" s="55" t="s">
        <v>50</v>
      </c>
      <c r="C82" s="30">
        <v>180</v>
      </c>
      <c r="D82" s="30" t="s">
        <v>47</v>
      </c>
      <c r="E82" s="31">
        <v>80</v>
      </c>
      <c r="F82" s="58"/>
    </row>
    <row r="83" spans="1:68" x14ac:dyDescent="0.25">
      <c r="A83" s="41" t="s">
        <v>244</v>
      </c>
      <c r="B83" s="55" t="s">
        <v>137</v>
      </c>
      <c r="C83" s="30">
        <v>5</v>
      </c>
      <c r="D83" s="30" t="s">
        <v>48</v>
      </c>
      <c r="E83" s="31">
        <v>680</v>
      </c>
      <c r="F83" s="58"/>
    </row>
    <row r="84" spans="1:68" x14ac:dyDescent="0.25">
      <c r="A84" s="41" t="s">
        <v>244</v>
      </c>
      <c r="B84" s="55" t="s">
        <v>130</v>
      </c>
      <c r="C84" s="30">
        <v>10</v>
      </c>
      <c r="D84" s="30" t="s">
        <v>129</v>
      </c>
      <c r="E84" s="31">
        <v>175</v>
      </c>
      <c r="F84" s="58"/>
    </row>
    <row r="85" spans="1:68" x14ac:dyDescent="0.25">
      <c r="A85" s="41" t="s">
        <v>244</v>
      </c>
      <c r="B85" s="55" t="s">
        <v>131</v>
      </c>
      <c r="C85" s="30">
        <v>80</v>
      </c>
      <c r="D85" s="30" t="s">
        <v>48</v>
      </c>
      <c r="E85" s="30">
        <v>28</v>
      </c>
      <c r="F85" s="58"/>
    </row>
    <row r="86" spans="1:68" x14ac:dyDescent="0.25">
      <c r="A86" s="41" t="s">
        <v>244</v>
      </c>
      <c r="B86" s="55" t="s">
        <v>132</v>
      </c>
      <c r="C86" s="30">
        <v>75</v>
      </c>
      <c r="D86" s="30" t="s">
        <v>48</v>
      </c>
      <c r="E86" s="30">
        <v>155</v>
      </c>
      <c r="F86" s="58"/>
    </row>
    <row r="87" spans="1:68" x14ac:dyDescent="0.25">
      <c r="A87" s="41" t="s">
        <v>244</v>
      </c>
      <c r="B87" s="55" t="s">
        <v>133</v>
      </c>
      <c r="C87" s="30">
        <v>375</v>
      </c>
      <c r="D87" s="30" t="s">
        <v>48</v>
      </c>
      <c r="E87" s="30">
        <v>5.5</v>
      </c>
      <c r="F87" s="58"/>
    </row>
    <row r="88" spans="1:68" x14ac:dyDescent="0.25">
      <c r="A88" s="41" t="s">
        <v>244</v>
      </c>
      <c r="B88" s="55" t="s">
        <v>134</v>
      </c>
      <c r="C88" s="30">
        <v>40</v>
      </c>
      <c r="D88" s="30" t="s">
        <v>48</v>
      </c>
      <c r="E88" s="30">
        <v>12</v>
      </c>
      <c r="F88" s="58"/>
    </row>
    <row r="89" spans="1:68" x14ac:dyDescent="0.25">
      <c r="A89" s="41" t="s">
        <v>244</v>
      </c>
      <c r="B89" s="55" t="s">
        <v>135</v>
      </c>
      <c r="C89" s="30">
        <f>(7+6+2+1+1+1+2)*150</f>
        <v>3000</v>
      </c>
      <c r="D89" s="30" t="s">
        <v>48</v>
      </c>
      <c r="E89" s="30">
        <v>1.45</v>
      </c>
      <c r="F89" s="58"/>
    </row>
    <row r="90" spans="1:68" x14ac:dyDescent="0.25">
      <c r="A90" s="41" t="s">
        <v>244</v>
      </c>
      <c r="B90" s="55" t="s">
        <v>168</v>
      </c>
      <c r="C90" s="30">
        <v>0.6</v>
      </c>
      <c r="D90" s="36" t="s">
        <v>169</v>
      </c>
      <c r="E90" s="30">
        <f>E51</f>
        <v>0</v>
      </c>
      <c r="F90" s="58"/>
    </row>
    <row r="91" spans="1:68" x14ac:dyDescent="0.25">
      <c r="A91" s="41" t="s">
        <v>244</v>
      </c>
      <c r="B91" s="54" t="s">
        <v>28</v>
      </c>
      <c r="C91" s="29"/>
      <c r="D91" s="29"/>
      <c r="E91" s="29"/>
      <c r="F91" s="29">
        <f>SUM(F75:F90)</f>
        <v>0</v>
      </c>
      <c r="G91" s="40"/>
    </row>
    <row r="92" spans="1:68" s="40" customFormat="1" x14ac:dyDescent="0.25">
      <c r="A92" s="41"/>
      <c r="B92" s="33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</row>
    <row r="93" spans="1:68" x14ac:dyDescent="0.25">
      <c r="A93" s="41" t="s">
        <v>245</v>
      </c>
      <c r="B93" s="33" t="s">
        <v>53</v>
      </c>
      <c r="C93" s="40" t="s">
        <v>122</v>
      </c>
      <c r="D93" s="40"/>
      <c r="E93" s="40" t="s">
        <v>234</v>
      </c>
      <c r="F93" s="40"/>
    </row>
    <row r="94" spans="1:68" x14ac:dyDescent="0.25">
      <c r="A94" s="41" t="s">
        <v>245</v>
      </c>
      <c r="B94" s="54" t="s">
        <v>46</v>
      </c>
      <c r="C94" s="29" t="s">
        <v>45</v>
      </c>
      <c r="D94" s="29" t="s">
        <v>40</v>
      </c>
      <c r="E94" s="29" t="s">
        <v>31</v>
      </c>
      <c r="F94" s="29" t="s">
        <v>27</v>
      </c>
    </row>
    <row r="95" spans="1:68" x14ac:dyDescent="0.25">
      <c r="A95" s="41" t="s">
        <v>245</v>
      </c>
      <c r="B95" s="55" t="s">
        <v>50</v>
      </c>
      <c r="C95" s="30">
        <v>36</v>
      </c>
      <c r="D95" s="30" t="s">
        <v>47</v>
      </c>
      <c r="E95" s="31">
        <v>150</v>
      </c>
      <c r="F95" s="58"/>
    </row>
    <row r="96" spans="1:68" x14ac:dyDescent="0.25">
      <c r="A96" s="41" t="s">
        <v>245</v>
      </c>
      <c r="B96" s="55" t="s">
        <v>141</v>
      </c>
      <c r="C96" s="30">
        <v>290</v>
      </c>
      <c r="D96" s="30" t="s">
        <v>47</v>
      </c>
      <c r="E96" s="31">
        <v>42</v>
      </c>
      <c r="F96" s="58"/>
    </row>
    <row r="97" spans="1:68" x14ac:dyDescent="0.25">
      <c r="A97" s="41" t="s">
        <v>245</v>
      </c>
      <c r="B97" s="55" t="s">
        <v>55</v>
      </c>
      <c r="C97" s="30">
        <v>70</v>
      </c>
      <c r="D97" s="30" t="s">
        <v>47</v>
      </c>
      <c r="E97" s="31">
        <v>45</v>
      </c>
      <c r="F97" s="58"/>
    </row>
    <row r="98" spans="1:68" x14ac:dyDescent="0.25">
      <c r="A98" s="41" t="s">
        <v>245</v>
      </c>
      <c r="B98" s="55" t="s">
        <v>142</v>
      </c>
      <c r="C98" s="30">
        <v>15</v>
      </c>
      <c r="D98" s="30" t="s">
        <v>48</v>
      </c>
      <c r="E98" s="31">
        <v>95</v>
      </c>
      <c r="F98" s="58"/>
    </row>
    <row r="99" spans="1:68" x14ac:dyDescent="0.25">
      <c r="A99" s="41" t="s">
        <v>245</v>
      </c>
      <c r="B99" s="55" t="s">
        <v>49</v>
      </c>
      <c r="C99" s="30">
        <v>90</v>
      </c>
      <c r="D99" s="30" t="s">
        <v>48</v>
      </c>
      <c r="E99" s="31">
        <v>12</v>
      </c>
      <c r="F99" s="58"/>
    </row>
    <row r="100" spans="1:68" x14ac:dyDescent="0.25">
      <c r="A100" s="41" t="s">
        <v>245</v>
      </c>
      <c r="B100" s="55" t="s">
        <v>143</v>
      </c>
      <c r="C100" s="30">
        <v>180</v>
      </c>
      <c r="D100" s="30" t="s">
        <v>48</v>
      </c>
      <c r="E100" s="31">
        <v>15</v>
      </c>
      <c r="F100" s="58"/>
    </row>
    <row r="101" spans="1:68" x14ac:dyDescent="0.25">
      <c r="A101" s="41" t="s">
        <v>245</v>
      </c>
      <c r="B101" s="55" t="s">
        <v>144</v>
      </c>
      <c r="C101" s="30">
        <v>35</v>
      </c>
      <c r="D101" s="30" t="s">
        <v>48</v>
      </c>
      <c r="E101" s="31">
        <v>25</v>
      </c>
      <c r="F101" s="58"/>
    </row>
    <row r="102" spans="1:68" x14ac:dyDescent="0.25">
      <c r="A102" s="41" t="s">
        <v>245</v>
      </c>
      <c r="B102" s="55" t="s">
        <v>130</v>
      </c>
      <c r="C102" s="30">
        <v>4</v>
      </c>
      <c r="D102" s="30" t="s">
        <v>129</v>
      </c>
      <c r="E102" s="31">
        <v>160</v>
      </c>
      <c r="F102" s="58"/>
    </row>
    <row r="103" spans="1:68" x14ac:dyDescent="0.25">
      <c r="A103" s="41" t="s">
        <v>245</v>
      </c>
      <c r="B103" s="55" t="s">
        <v>135</v>
      </c>
      <c r="C103" s="30">
        <f>(7+1+1+1+1+1+3.5)*36</f>
        <v>558</v>
      </c>
      <c r="D103" s="30" t="s">
        <v>48</v>
      </c>
      <c r="E103" s="31">
        <v>1.45</v>
      </c>
      <c r="F103" s="58"/>
    </row>
    <row r="104" spans="1:68" x14ac:dyDescent="0.25">
      <c r="A104" s="41" t="s">
        <v>245</v>
      </c>
      <c r="B104" s="55" t="s">
        <v>149</v>
      </c>
      <c r="C104" s="30">
        <v>0.15</v>
      </c>
      <c r="D104" s="30" t="s">
        <v>52</v>
      </c>
      <c r="E104" s="31">
        <f>G52+G53</f>
        <v>0</v>
      </c>
      <c r="F104" s="58"/>
    </row>
    <row r="105" spans="1:68" x14ac:dyDescent="0.25">
      <c r="A105" s="41" t="s">
        <v>245</v>
      </c>
      <c r="B105" s="54" t="s">
        <v>28</v>
      </c>
      <c r="C105" s="29"/>
      <c r="D105" s="29"/>
      <c r="E105" s="32"/>
      <c r="F105" s="32">
        <f>SUM(F95:F104)</f>
        <v>0</v>
      </c>
      <c r="G105" s="40"/>
    </row>
    <row r="106" spans="1:68" s="40" customFormat="1" x14ac:dyDescent="0.25">
      <c r="A106" s="41"/>
      <c r="B106" s="53"/>
      <c r="C106" s="36"/>
      <c r="D106" s="36"/>
      <c r="E106" s="36"/>
      <c r="F106" s="47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</row>
    <row r="107" spans="1:68" x14ac:dyDescent="0.25">
      <c r="A107" s="41" t="s">
        <v>246</v>
      </c>
      <c r="B107" s="33" t="s">
        <v>56</v>
      </c>
      <c r="C107" s="40" t="s">
        <v>123</v>
      </c>
      <c r="D107" s="40"/>
      <c r="E107" s="40" t="s">
        <v>235</v>
      </c>
      <c r="F107" s="40"/>
    </row>
    <row r="108" spans="1:68" x14ac:dyDescent="0.25">
      <c r="A108" s="41" t="s">
        <v>246</v>
      </c>
      <c r="B108" s="54" t="s">
        <v>46</v>
      </c>
      <c r="C108" s="29" t="s">
        <v>45</v>
      </c>
      <c r="D108" s="29" t="s">
        <v>40</v>
      </c>
      <c r="E108" s="29" t="s">
        <v>31</v>
      </c>
      <c r="F108" s="29" t="s">
        <v>27</v>
      </c>
    </row>
    <row r="109" spans="1:68" x14ac:dyDescent="0.25">
      <c r="A109" s="41" t="s">
        <v>246</v>
      </c>
      <c r="B109" s="55" t="s">
        <v>50</v>
      </c>
      <c r="C109" s="30">
        <v>300</v>
      </c>
      <c r="D109" s="30" t="s">
        <v>47</v>
      </c>
      <c r="E109" s="31">
        <v>28</v>
      </c>
      <c r="F109" s="58"/>
    </row>
    <row r="110" spans="1:68" x14ac:dyDescent="0.25">
      <c r="A110" s="41" t="s">
        <v>246</v>
      </c>
      <c r="B110" s="55" t="s">
        <v>49</v>
      </c>
      <c r="C110" s="30">
        <v>200</v>
      </c>
      <c r="D110" s="30" t="s">
        <v>48</v>
      </c>
      <c r="E110" s="31">
        <v>12.5</v>
      </c>
      <c r="F110" s="58"/>
    </row>
    <row r="111" spans="1:68" x14ac:dyDescent="0.25">
      <c r="A111" s="41" t="s">
        <v>246</v>
      </c>
      <c r="B111" s="55" t="s">
        <v>150</v>
      </c>
      <c r="C111" s="30">
        <v>0.5</v>
      </c>
      <c r="D111" s="30" t="s">
        <v>129</v>
      </c>
      <c r="E111" s="31">
        <v>2500</v>
      </c>
      <c r="F111" s="58"/>
    </row>
    <row r="112" spans="1:68" x14ac:dyDescent="0.25">
      <c r="A112" s="41" t="s">
        <v>246</v>
      </c>
      <c r="B112" s="55" t="s">
        <v>151</v>
      </c>
      <c r="C112" s="30">
        <v>100</v>
      </c>
      <c r="D112" s="30" t="s">
        <v>48</v>
      </c>
      <c r="E112" s="31">
        <v>38</v>
      </c>
      <c r="F112" s="58"/>
    </row>
    <row r="113" spans="1:8" x14ac:dyDescent="0.25">
      <c r="A113" s="41" t="s">
        <v>246</v>
      </c>
      <c r="B113" s="55" t="s">
        <v>54</v>
      </c>
      <c r="C113" s="30">
        <v>400</v>
      </c>
      <c r="D113" s="30" t="s">
        <v>47</v>
      </c>
      <c r="E113" s="31">
        <v>42</v>
      </c>
      <c r="F113" s="58"/>
    </row>
    <row r="114" spans="1:8" x14ac:dyDescent="0.25">
      <c r="A114" s="41" t="s">
        <v>246</v>
      </c>
      <c r="B114" s="55" t="s">
        <v>55</v>
      </c>
      <c r="C114" s="30">
        <v>150</v>
      </c>
      <c r="D114" s="30" t="s">
        <v>47</v>
      </c>
      <c r="E114" s="31">
        <v>45</v>
      </c>
      <c r="F114" s="58"/>
    </row>
    <row r="115" spans="1:8" x14ac:dyDescent="0.25">
      <c r="A115" s="41" t="s">
        <v>246</v>
      </c>
      <c r="B115" s="55" t="s">
        <v>145</v>
      </c>
      <c r="C115" s="30">
        <v>30</v>
      </c>
      <c r="D115" s="30" t="s">
        <v>48</v>
      </c>
      <c r="E115" s="31">
        <v>96</v>
      </c>
      <c r="F115" s="58"/>
    </row>
    <row r="116" spans="1:8" x14ac:dyDescent="0.25">
      <c r="A116" s="41" t="s">
        <v>246</v>
      </c>
      <c r="B116" s="55" t="s">
        <v>146</v>
      </c>
      <c r="C116" s="30">
        <v>9</v>
      </c>
      <c r="D116" s="30" t="s">
        <v>48</v>
      </c>
      <c r="E116" s="31">
        <v>595</v>
      </c>
      <c r="F116" s="58"/>
    </row>
    <row r="117" spans="1:8" x14ac:dyDescent="0.25">
      <c r="A117" s="41" t="s">
        <v>246</v>
      </c>
      <c r="B117" s="55" t="s">
        <v>147</v>
      </c>
      <c r="C117" s="30">
        <v>30</v>
      </c>
      <c r="D117" s="30" t="s">
        <v>48</v>
      </c>
      <c r="E117" s="31">
        <v>98</v>
      </c>
      <c r="F117" s="58"/>
    </row>
    <row r="118" spans="1:8" x14ac:dyDescent="0.25">
      <c r="A118" s="41" t="s">
        <v>246</v>
      </c>
      <c r="B118" s="55" t="s">
        <v>135</v>
      </c>
      <c r="C118" s="30">
        <f>(7+6+1+1+1+2)*100</f>
        <v>1800</v>
      </c>
      <c r="D118" s="30" t="s">
        <v>48</v>
      </c>
      <c r="E118" s="31">
        <v>1.45</v>
      </c>
      <c r="F118" s="58"/>
    </row>
    <row r="119" spans="1:8" x14ac:dyDescent="0.25">
      <c r="A119" s="41" t="s">
        <v>246</v>
      </c>
      <c r="B119" s="54" t="s">
        <v>28</v>
      </c>
      <c r="C119" s="29"/>
      <c r="D119" s="29"/>
      <c r="E119" s="29"/>
      <c r="F119" s="29">
        <f>SUM(F109:F118)</f>
        <v>0</v>
      </c>
    </row>
    <row r="120" spans="1:8" x14ac:dyDescent="0.25">
      <c r="B120" s="37"/>
      <c r="C120" s="44"/>
      <c r="D120" s="44"/>
      <c r="E120" s="44"/>
      <c r="F120" s="44"/>
    </row>
    <row r="121" spans="1:8" x14ac:dyDescent="0.25">
      <c r="A121" s="41" t="s">
        <v>247</v>
      </c>
      <c r="B121" s="33" t="s">
        <v>153</v>
      </c>
      <c r="C121" s="40" t="s">
        <v>124</v>
      </c>
      <c r="D121" s="40"/>
      <c r="E121" s="40" t="s">
        <v>236</v>
      </c>
      <c r="F121" s="40"/>
    </row>
    <row r="122" spans="1:8" x14ac:dyDescent="0.25">
      <c r="A122" s="41" t="s">
        <v>247</v>
      </c>
      <c r="B122" s="54" t="s">
        <v>46</v>
      </c>
      <c r="C122" s="29" t="s">
        <v>45</v>
      </c>
      <c r="D122" s="29" t="s">
        <v>40</v>
      </c>
      <c r="E122" s="29" t="s">
        <v>31</v>
      </c>
      <c r="F122" s="29" t="s">
        <v>27</v>
      </c>
    </row>
    <row r="123" spans="1:8" x14ac:dyDescent="0.25">
      <c r="A123" s="41" t="s">
        <v>247</v>
      </c>
      <c r="B123" s="55" t="s">
        <v>50</v>
      </c>
      <c r="C123" s="30">
        <v>180</v>
      </c>
      <c r="D123" s="30" t="s">
        <v>47</v>
      </c>
      <c r="E123" s="31">
        <v>15</v>
      </c>
      <c r="F123" s="58"/>
    </row>
    <row r="124" spans="1:8" x14ac:dyDescent="0.25">
      <c r="A124" s="41" t="s">
        <v>247</v>
      </c>
      <c r="B124" s="55" t="s">
        <v>148</v>
      </c>
      <c r="C124" s="30">
        <v>100</v>
      </c>
      <c r="D124" s="30" t="s">
        <v>47</v>
      </c>
      <c r="E124" s="31">
        <v>37</v>
      </c>
      <c r="F124" s="58"/>
    </row>
    <row r="125" spans="1:8" x14ac:dyDescent="0.25">
      <c r="A125" s="41" t="s">
        <v>247</v>
      </c>
      <c r="B125" s="55" t="s">
        <v>49</v>
      </c>
      <c r="C125" s="30">
        <v>75</v>
      </c>
      <c r="D125" s="30" t="s">
        <v>48</v>
      </c>
      <c r="E125" s="31">
        <v>12</v>
      </c>
      <c r="F125" s="58"/>
    </row>
    <row r="126" spans="1:8" x14ac:dyDescent="0.25">
      <c r="A126" s="41" t="s">
        <v>247</v>
      </c>
      <c r="B126" s="55" t="s">
        <v>152</v>
      </c>
      <c r="C126" s="30">
        <v>10</v>
      </c>
      <c r="D126" s="30" t="s">
        <v>48</v>
      </c>
      <c r="E126" s="31">
        <v>98</v>
      </c>
      <c r="F126" s="58"/>
      <c r="H126" s="36">
        <v>0</v>
      </c>
    </row>
    <row r="127" spans="1:8" x14ac:dyDescent="0.25">
      <c r="A127" s="41" t="s">
        <v>247</v>
      </c>
      <c r="B127" s="55" t="s">
        <v>135</v>
      </c>
      <c r="C127" s="30">
        <f>(7+5+1+1+1.5)*50</f>
        <v>775</v>
      </c>
      <c r="D127" s="30" t="s">
        <v>48</v>
      </c>
      <c r="E127" s="31">
        <v>1.45</v>
      </c>
      <c r="F127" s="58"/>
    </row>
    <row r="128" spans="1:8" x14ac:dyDescent="0.25">
      <c r="A128" s="41" t="s">
        <v>247</v>
      </c>
      <c r="B128" s="54" t="s">
        <v>28</v>
      </c>
      <c r="C128" s="29"/>
      <c r="D128" s="29"/>
      <c r="E128" s="32"/>
      <c r="F128" s="32">
        <f>SUM(F123:F127)</f>
        <v>0</v>
      </c>
    </row>
    <row r="129" spans="1:68" x14ac:dyDescent="0.25">
      <c r="B129" s="37"/>
      <c r="C129" s="44"/>
      <c r="D129" s="44"/>
      <c r="E129" s="44"/>
      <c r="F129" s="44"/>
    </row>
    <row r="130" spans="1:68" x14ac:dyDescent="0.25">
      <c r="A130" s="41" t="s">
        <v>248</v>
      </c>
      <c r="B130" s="33" t="s">
        <v>172</v>
      </c>
      <c r="C130" s="40" t="s">
        <v>170</v>
      </c>
      <c r="D130" s="40"/>
      <c r="E130" s="40" t="s">
        <v>237</v>
      </c>
      <c r="F130" s="40">
        <v>2</v>
      </c>
    </row>
    <row r="131" spans="1:68" x14ac:dyDescent="0.25">
      <c r="A131" s="41" t="s">
        <v>248</v>
      </c>
      <c r="B131" s="54" t="s">
        <v>46</v>
      </c>
      <c r="C131" s="29" t="s">
        <v>45</v>
      </c>
      <c r="D131" s="29" t="s">
        <v>40</v>
      </c>
      <c r="E131" s="29" t="s">
        <v>31</v>
      </c>
      <c r="F131" s="29" t="s">
        <v>27</v>
      </c>
    </row>
    <row r="132" spans="1:68" x14ac:dyDescent="0.25">
      <c r="A132" s="41" t="s">
        <v>248</v>
      </c>
      <c r="B132" s="55" t="s">
        <v>209</v>
      </c>
      <c r="C132" s="30">
        <v>1</v>
      </c>
      <c r="D132" s="30" t="s">
        <v>171</v>
      </c>
      <c r="E132" s="31">
        <v>100</v>
      </c>
      <c r="F132" s="58"/>
    </row>
    <row r="133" spans="1:68" x14ac:dyDescent="0.25">
      <c r="A133" s="41" t="s">
        <v>248</v>
      </c>
      <c r="B133" s="55" t="s">
        <v>54</v>
      </c>
      <c r="C133" s="30">
        <v>5</v>
      </c>
      <c r="D133" s="30" t="s">
        <v>171</v>
      </c>
      <c r="E133" s="31">
        <v>42</v>
      </c>
      <c r="F133" s="58"/>
    </row>
    <row r="134" spans="1:68" x14ac:dyDescent="0.25">
      <c r="A134" s="41" t="s">
        <v>248</v>
      </c>
      <c r="B134" s="55" t="s">
        <v>55</v>
      </c>
      <c r="C134" s="30">
        <v>2</v>
      </c>
      <c r="D134" s="30" t="s">
        <v>171</v>
      </c>
      <c r="E134" s="31">
        <v>45</v>
      </c>
      <c r="F134" s="58"/>
    </row>
    <row r="135" spans="1:68" x14ac:dyDescent="0.25">
      <c r="A135" s="41" t="s">
        <v>248</v>
      </c>
      <c r="B135" s="55" t="s">
        <v>173</v>
      </c>
      <c r="C135" s="30">
        <v>50</v>
      </c>
      <c r="D135" s="30" t="s">
        <v>41</v>
      </c>
      <c r="E135" s="31">
        <v>3</v>
      </c>
      <c r="F135" s="58"/>
    </row>
    <row r="136" spans="1:68" x14ac:dyDescent="0.25">
      <c r="A136" s="41" t="s">
        <v>248</v>
      </c>
      <c r="B136" s="55" t="s">
        <v>174</v>
      </c>
      <c r="C136" s="30">
        <v>1</v>
      </c>
      <c r="D136" s="30" t="s">
        <v>171</v>
      </c>
      <c r="E136" s="31">
        <v>10</v>
      </c>
      <c r="F136" s="58"/>
    </row>
    <row r="137" spans="1:68" x14ac:dyDescent="0.25">
      <c r="A137" s="41" t="s">
        <v>248</v>
      </c>
      <c r="B137" s="55" t="s">
        <v>175</v>
      </c>
      <c r="C137" s="30">
        <v>210</v>
      </c>
      <c r="D137" s="30" t="s">
        <v>41</v>
      </c>
      <c r="E137" s="31">
        <v>1.5</v>
      </c>
      <c r="F137" s="58"/>
    </row>
    <row r="138" spans="1:68" x14ac:dyDescent="0.25">
      <c r="A138" s="41" t="s">
        <v>248</v>
      </c>
      <c r="B138" s="54" t="s">
        <v>28</v>
      </c>
      <c r="C138" s="29"/>
      <c r="D138" s="29"/>
      <c r="E138" s="29"/>
      <c r="F138" s="29">
        <f>SUM(F132:F137)</f>
        <v>0</v>
      </c>
    </row>
    <row r="139" spans="1:68" x14ac:dyDescent="0.25">
      <c r="B139" s="37"/>
      <c r="C139" s="44"/>
      <c r="D139" s="44"/>
      <c r="E139" s="44"/>
      <c r="F139" s="44"/>
    </row>
    <row r="140" spans="1:68" x14ac:dyDescent="0.25">
      <c r="A140" s="41" t="s">
        <v>250</v>
      </c>
      <c r="B140" s="33" t="s">
        <v>176</v>
      </c>
      <c r="C140" s="40"/>
      <c r="D140" s="40"/>
      <c r="E140" s="74" t="s">
        <v>58</v>
      </c>
      <c r="F140" s="75"/>
      <c r="G140" s="76"/>
    </row>
    <row r="141" spans="1:68" s="40" customFormat="1" x14ac:dyDescent="0.25">
      <c r="A141" s="41" t="s">
        <v>250</v>
      </c>
      <c r="B141" s="54" t="s">
        <v>57</v>
      </c>
      <c r="C141" s="29" t="s">
        <v>45</v>
      </c>
      <c r="D141" s="29" t="s">
        <v>27</v>
      </c>
      <c r="E141" s="29" t="s">
        <v>25</v>
      </c>
      <c r="F141" s="29" t="s">
        <v>60</v>
      </c>
      <c r="G141" s="29" t="s">
        <v>59</v>
      </c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</row>
    <row r="142" spans="1:68" x14ac:dyDescent="0.25">
      <c r="A142" s="41" t="s">
        <v>250</v>
      </c>
      <c r="B142" s="55"/>
      <c r="C142" s="30"/>
      <c r="D142" s="30"/>
      <c r="E142" s="30" t="s">
        <v>20</v>
      </c>
      <c r="F142" s="61">
        <v>0.5</v>
      </c>
      <c r="G142" s="63"/>
    </row>
    <row r="143" spans="1:68" x14ac:dyDescent="0.25">
      <c r="A143" s="41" t="s">
        <v>250</v>
      </c>
      <c r="B143" s="55" t="s">
        <v>61</v>
      </c>
      <c r="C143" s="30" t="s">
        <v>181</v>
      </c>
      <c r="D143" s="31">
        <f>40*5</f>
        <v>200</v>
      </c>
      <c r="E143" s="30" t="s">
        <v>118</v>
      </c>
      <c r="F143" s="61">
        <v>0.08</v>
      </c>
      <c r="G143" s="63"/>
    </row>
    <row r="144" spans="1:68" x14ac:dyDescent="0.25">
      <c r="A144" s="41" t="s">
        <v>250</v>
      </c>
      <c r="B144" s="55" t="s">
        <v>62</v>
      </c>
      <c r="C144" s="30" t="s">
        <v>180</v>
      </c>
      <c r="D144" s="31">
        <f>40*7</f>
        <v>280</v>
      </c>
      <c r="E144" s="30" t="s">
        <v>119</v>
      </c>
      <c r="F144" s="61">
        <v>0.3</v>
      </c>
      <c r="G144" s="63"/>
    </row>
    <row r="145" spans="1:68" x14ac:dyDescent="0.25">
      <c r="A145" s="41" t="s">
        <v>250</v>
      </c>
      <c r="B145" s="55" t="s">
        <v>166</v>
      </c>
      <c r="C145" s="30"/>
      <c r="D145" s="31">
        <v>6000</v>
      </c>
      <c r="E145" s="30" t="s">
        <v>154</v>
      </c>
      <c r="F145" s="61">
        <v>0.115</v>
      </c>
      <c r="G145" s="63"/>
    </row>
    <row r="146" spans="1:68" x14ac:dyDescent="0.25">
      <c r="A146" s="41" t="s">
        <v>250</v>
      </c>
      <c r="B146" s="55" t="s">
        <v>63</v>
      </c>
      <c r="C146" s="30"/>
      <c r="D146" s="31">
        <v>600</v>
      </c>
      <c r="E146" s="30" t="s">
        <v>21</v>
      </c>
      <c r="F146" s="61">
        <v>5.0000000000000001E-3</v>
      </c>
      <c r="G146" s="63"/>
    </row>
    <row r="147" spans="1:68" x14ac:dyDescent="0.25">
      <c r="A147" s="41" t="s">
        <v>250</v>
      </c>
      <c r="B147" s="54" t="s">
        <v>28</v>
      </c>
      <c r="C147" s="29"/>
      <c r="D147" s="29">
        <f>SUM(D143:D146)</f>
        <v>7080</v>
      </c>
      <c r="E147" s="29" t="s">
        <v>28</v>
      </c>
      <c r="F147" s="62">
        <f>SUM(F142:F146)</f>
        <v>0.99999999999999989</v>
      </c>
      <c r="G147" s="29">
        <f>SUM(G142:G146)</f>
        <v>0</v>
      </c>
    </row>
    <row r="149" spans="1:68" s="40" customFormat="1" x14ac:dyDescent="0.25">
      <c r="A149" s="41" t="s">
        <v>249</v>
      </c>
      <c r="B149" s="33" t="s">
        <v>177</v>
      </c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</row>
    <row r="150" spans="1:68" x14ac:dyDescent="0.25">
      <c r="A150" s="41" t="s">
        <v>249</v>
      </c>
      <c r="B150" s="54" t="s">
        <v>64</v>
      </c>
      <c r="C150" s="29" t="s">
        <v>65</v>
      </c>
      <c r="D150" s="29" t="s">
        <v>66</v>
      </c>
      <c r="E150" s="29" t="s">
        <v>67</v>
      </c>
    </row>
    <row r="151" spans="1:68" s="40" customFormat="1" x14ac:dyDescent="0.25">
      <c r="A151" s="41" t="s">
        <v>249</v>
      </c>
      <c r="B151" s="55" t="s">
        <v>20</v>
      </c>
      <c r="C151" s="63"/>
      <c r="D151" s="63"/>
      <c r="E151" s="63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</row>
    <row r="152" spans="1:68" s="40" customFormat="1" x14ac:dyDescent="0.25">
      <c r="A152" s="41" t="s">
        <v>249</v>
      </c>
      <c r="B152" s="55" t="s">
        <v>118</v>
      </c>
      <c r="C152" s="63"/>
      <c r="D152" s="63"/>
      <c r="E152" s="63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</row>
    <row r="153" spans="1:68" x14ac:dyDescent="0.25">
      <c r="A153" s="41" t="s">
        <v>249</v>
      </c>
      <c r="B153" s="55" t="s">
        <v>119</v>
      </c>
      <c r="C153" s="63"/>
      <c r="D153" s="63"/>
      <c r="E153" s="63"/>
    </row>
    <row r="154" spans="1:68" x14ac:dyDescent="0.25">
      <c r="A154" s="41" t="s">
        <v>249</v>
      </c>
      <c r="B154" s="55" t="s">
        <v>154</v>
      </c>
      <c r="C154" s="63"/>
      <c r="D154" s="63"/>
      <c r="E154" s="63"/>
    </row>
    <row r="155" spans="1:68" x14ac:dyDescent="0.25">
      <c r="A155" s="41" t="s">
        <v>249</v>
      </c>
      <c r="B155" s="55" t="s">
        <v>21</v>
      </c>
      <c r="C155" s="63"/>
      <c r="D155" s="63"/>
      <c r="E155" s="63"/>
    </row>
    <row r="156" spans="1:68" x14ac:dyDescent="0.25">
      <c r="A156" s="41" t="s">
        <v>249</v>
      </c>
      <c r="B156" s="54" t="s">
        <v>28</v>
      </c>
      <c r="C156" s="29">
        <f>SUM(C151:C155)</f>
        <v>0</v>
      </c>
      <c r="D156" s="29">
        <f>SUM(D151:D155)</f>
        <v>0</v>
      </c>
      <c r="E156" s="29">
        <f t="shared" ref="E156" si="0">C156+D156</f>
        <v>0</v>
      </c>
    </row>
    <row r="158" spans="1:68" s="40" customFormat="1" x14ac:dyDescent="0.25">
      <c r="A158" s="41" t="s">
        <v>251</v>
      </c>
      <c r="B158" s="33" t="s">
        <v>68</v>
      </c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</row>
    <row r="159" spans="1:68" x14ac:dyDescent="0.25">
      <c r="A159" s="41" t="s">
        <v>251</v>
      </c>
      <c r="B159" s="54" t="s">
        <v>69</v>
      </c>
      <c r="C159" s="29"/>
      <c r="D159" s="29"/>
      <c r="E159" s="29" t="s">
        <v>70</v>
      </c>
    </row>
    <row r="160" spans="1:68" s="40" customFormat="1" x14ac:dyDescent="0.25">
      <c r="A160" s="41" t="s">
        <v>251</v>
      </c>
      <c r="B160" s="55" t="s">
        <v>72</v>
      </c>
      <c r="C160" s="61">
        <v>2.3E-2</v>
      </c>
      <c r="D160" s="30" t="s">
        <v>274</v>
      </c>
      <c r="E160" s="58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</row>
    <row r="161" spans="1:68" x14ac:dyDescent="0.25">
      <c r="A161" s="41" t="s">
        <v>251</v>
      </c>
      <c r="B161" s="55" t="s">
        <v>155</v>
      </c>
      <c r="C161" s="61">
        <v>2.3E-2</v>
      </c>
      <c r="D161" s="30" t="s">
        <v>274</v>
      </c>
      <c r="E161" s="58"/>
    </row>
    <row r="162" spans="1:68" x14ac:dyDescent="0.25">
      <c r="A162" s="41" t="s">
        <v>251</v>
      </c>
      <c r="B162" s="55" t="s">
        <v>156</v>
      </c>
      <c r="C162" s="61">
        <v>2.3E-2</v>
      </c>
      <c r="D162" s="30" t="s">
        <v>274</v>
      </c>
      <c r="E162" s="58"/>
    </row>
    <row r="163" spans="1:68" x14ac:dyDescent="0.25">
      <c r="A163" s="41" t="s">
        <v>251</v>
      </c>
      <c r="B163" s="55" t="s">
        <v>157</v>
      </c>
      <c r="C163" s="61">
        <v>2.3E-2</v>
      </c>
      <c r="D163" s="30" t="s">
        <v>274</v>
      </c>
      <c r="E163" s="58"/>
    </row>
    <row r="164" spans="1:68" x14ac:dyDescent="0.25">
      <c r="A164" s="41" t="s">
        <v>251</v>
      </c>
      <c r="B164" s="55" t="s">
        <v>71</v>
      </c>
      <c r="C164" s="61">
        <v>0.1</v>
      </c>
      <c r="D164" s="30" t="s">
        <v>293</v>
      </c>
      <c r="E164" s="58"/>
    </row>
    <row r="165" spans="1:68" x14ac:dyDescent="0.25">
      <c r="A165" s="41" t="s">
        <v>251</v>
      </c>
      <c r="B165" s="55" t="s">
        <v>73</v>
      </c>
      <c r="C165" s="61">
        <v>0.01</v>
      </c>
      <c r="D165" s="30" t="s">
        <v>274</v>
      </c>
      <c r="E165" s="58"/>
    </row>
    <row r="166" spans="1:68" x14ac:dyDescent="0.25">
      <c r="A166" s="41" t="s">
        <v>251</v>
      </c>
      <c r="B166" s="55" t="s">
        <v>158</v>
      </c>
      <c r="C166" s="61">
        <v>0.01</v>
      </c>
      <c r="D166" s="30" t="s">
        <v>274</v>
      </c>
      <c r="E166" s="58"/>
    </row>
    <row r="167" spans="1:68" x14ac:dyDescent="0.25">
      <c r="A167" s="41" t="s">
        <v>251</v>
      </c>
      <c r="B167" s="55" t="s">
        <v>159</v>
      </c>
      <c r="C167" s="61">
        <v>0.01</v>
      </c>
      <c r="D167" s="30" t="s">
        <v>274</v>
      </c>
      <c r="E167" s="58"/>
    </row>
    <row r="168" spans="1:68" x14ac:dyDescent="0.25">
      <c r="A168" s="41" t="s">
        <v>251</v>
      </c>
      <c r="B168" s="55" t="s">
        <v>160</v>
      </c>
      <c r="C168" s="61">
        <v>0.01</v>
      </c>
      <c r="D168" s="30" t="s">
        <v>274</v>
      </c>
      <c r="E168" s="58"/>
    </row>
    <row r="169" spans="1:68" x14ac:dyDescent="0.25">
      <c r="A169" s="41" t="s">
        <v>251</v>
      </c>
      <c r="B169" s="55" t="s">
        <v>182</v>
      </c>
      <c r="C169" s="30">
        <v>1.5</v>
      </c>
      <c r="D169" s="30">
        <f>260*13</f>
        <v>3380</v>
      </c>
      <c r="E169" s="58"/>
    </row>
    <row r="170" spans="1:68" x14ac:dyDescent="0.25">
      <c r="A170" s="41" t="s">
        <v>251</v>
      </c>
      <c r="B170" s="54" t="s">
        <v>28</v>
      </c>
      <c r="C170" s="29"/>
      <c r="D170" s="29"/>
      <c r="E170" s="32">
        <f>SUM(E160:E169)</f>
        <v>0</v>
      </c>
    </row>
    <row r="172" spans="1:68" s="40" customFormat="1" x14ac:dyDescent="0.25">
      <c r="A172" s="41"/>
      <c r="B172" s="33" t="s">
        <v>74</v>
      </c>
      <c r="C172" s="36"/>
      <c r="D172" s="36"/>
      <c r="E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</row>
    <row r="173" spans="1:68" x14ac:dyDescent="0.25">
      <c r="A173" s="41" t="s">
        <v>258</v>
      </c>
      <c r="B173" s="33" t="s">
        <v>75</v>
      </c>
    </row>
    <row r="174" spans="1:68" x14ac:dyDescent="0.25">
      <c r="A174" s="41" t="s">
        <v>258</v>
      </c>
      <c r="B174" s="54" t="s">
        <v>10</v>
      </c>
      <c r="C174" s="29" t="s">
        <v>79</v>
      </c>
      <c r="D174" s="29" t="s">
        <v>76</v>
      </c>
      <c r="E174" s="29" t="s">
        <v>27</v>
      </c>
      <c r="F174" s="29" t="s">
        <v>77</v>
      </c>
      <c r="G174" s="29" t="s">
        <v>242</v>
      </c>
      <c r="H174" s="29" t="s">
        <v>78</v>
      </c>
    </row>
    <row r="175" spans="1:68" x14ac:dyDescent="0.25">
      <c r="A175" s="41" t="s">
        <v>258</v>
      </c>
      <c r="B175" s="55" t="s">
        <v>111</v>
      </c>
      <c r="C175" s="30">
        <v>500</v>
      </c>
      <c r="D175" s="30">
        <f>752.23*25%</f>
        <v>188.0575</v>
      </c>
      <c r="E175" s="31">
        <f>C175*D175</f>
        <v>94028.75</v>
      </c>
      <c r="F175" s="30">
        <v>30</v>
      </c>
      <c r="G175" s="30">
        <v>0.1</v>
      </c>
      <c r="H175" s="58"/>
    </row>
    <row r="176" spans="1:68" s="40" customFormat="1" x14ac:dyDescent="0.25">
      <c r="A176" s="41" t="s">
        <v>258</v>
      </c>
      <c r="B176" s="55" t="s">
        <v>80</v>
      </c>
      <c r="C176" s="30">
        <v>160</v>
      </c>
      <c r="D176" s="30">
        <f>752.23*15%</f>
        <v>112.83450000000001</v>
      </c>
      <c r="E176" s="31">
        <f>C176*D176</f>
        <v>18053.52</v>
      </c>
      <c r="F176" s="30">
        <v>20</v>
      </c>
      <c r="G176" s="30">
        <v>0.1</v>
      </c>
      <c r="H176" s="58"/>
      <c r="I176" s="36" t="s">
        <v>294</v>
      </c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</row>
    <row r="177" spans="1:8" x14ac:dyDescent="0.25">
      <c r="A177" s="41" t="s">
        <v>258</v>
      </c>
      <c r="B177" s="54" t="s">
        <v>28</v>
      </c>
      <c r="C177" s="29"/>
      <c r="D177" s="29"/>
      <c r="E177" s="32"/>
      <c r="F177" s="29"/>
      <c r="G177" s="30"/>
      <c r="H177" s="29">
        <f>SUM(H175:H176)</f>
        <v>0</v>
      </c>
    </row>
    <row r="179" spans="1:8" x14ac:dyDescent="0.25">
      <c r="A179" s="41" t="s">
        <v>259</v>
      </c>
      <c r="B179" s="33" t="s">
        <v>81</v>
      </c>
    </row>
    <row r="180" spans="1:8" x14ac:dyDescent="0.25">
      <c r="A180" s="41" t="s">
        <v>259</v>
      </c>
      <c r="B180" s="74" t="s">
        <v>10</v>
      </c>
      <c r="C180" s="76"/>
      <c r="D180" s="29" t="s">
        <v>27</v>
      </c>
      <c r="E180" s="34" t="s">
        <v>77</v>
      </c>
      <c r="F180" s="29" t="s">
        <v>242</v>
      </c>
      <c r="G180" s="29" t="s">
        <v>78</v>
      </c>
    </row>
    <row r="181" spans="1:8" x14ac:dyDescent="0.25">
      <c r="A181" s="41" t="s">
        <v>259</v>
      </c>
      <c r="B181" s="72" t="s">
        <v>112</v>
      </c>
      <c r="C181" s="73"/>
      <c r="D181" s="31">
        <v>20000</v>
      </c>
      <c r="E181" s="35">
        <v>10</v>
      </c>
      <c r="F181" s="30">
        <v>0.2</v>
      </c>
      <c r="G181" s="63"/>
    </row>
    <row r="182" spans="1:8" x14ac:dyDescent="0.25">
      <c r="A182" s="41" t="s">
        <v>259</v>
      </c>
      <c r="B182" s="72" t="s">
        <v>113</v>
      </c>
      <c r="C182" s="73"/>
      <c r="D182" s="31">
        <v>35000</v>
      </c>
      <c r="E182" s="35">
        <v>12</v>
      </c>
      <c r="F182" s="30">
        <v>0.2</v>
      </c>
      <c r="G182" s="63"/>
    </row>
    <row r="183" spans="1:8" x14ac:dyDescent="0.25">
      <c r="A183" s="41" t="s">
        <v>259</v>
      </c>
      <c r="B183" s="72" t="s">
        <v>116</v>
      </c>
      <c r="C183" s="73"/>
      <c r="D183" s="31">
        <v>28000</v>
      </c>
      <c r="E183" s="35">
        <v>12</v>
      </c>
      <c r="F183" s="30">
        <v>0.2</v>
      </c>
      <c r="G183" s="63"/>
    </row>
    <row r="184" spans="1:8" x14ac:dyDescent="0.25">
      <c r="A184" s="41" t="s">
        <v>259</v>
      </c>
      <c r="B184" s="72" t="s">
        <v>114</v>
      </c>
      <c r="C184" s="73"/>
      <c r="D184" s="31">
        <v>10000</v>
      </c>
      <c r="E184" s="35">
        <v>8</v>
      </c>
      <c r="F184" s="30">
        <v>0.2</v>
      </c>
      <c r="G184" s="63"/>
    </row>
    <row r="185" spans="1:8" x14ac:dyDescent="0.25">
      <c r="A185" s="41" t="s">
        <v>259</v>
      </c>
      <c r="B185" s="72" t="s">
        <v>115</v>
      </c>
      <c r="C185" s="73"/>
      <c r="D185" s="31">
        <v>8000</v>
      </c>
      <c r="E185" s="35">
        <v>15</v>
      </c>
      <c r="F185" s="30">
        <v>0.2</v>
      </c>
      <c r="G185" s="63"/>
    </row>
    <row r="186" spans="1:8" x14ac:dyDescent="0.25">
      <c r="A186" s="41" t="s">
        <v>259</v>
      </c>
      <c r="B186" s="72" t="s">
        <v>162</v>
      </c>
      <c r="C186" s="73"/>
      <c r="D186" s="31">
        <v>27000</v>
      </c>
      <c r="E186" s="35">
        <v>8</v>
      </c>
      <c r="F186" s="30">
        <v>0.2</v>
      </c>
      <c r="G186" s="63"/>
    </row>
    <row r="187" spans="1:8" x14ac:dyDescent="0.25">
      <c r="A187" s="41" t="s">
        <v>259</v>
      </c>
      <c r="B187" s="72" t="s">
        <v>117</v>
      </c>
      <c r="C187" s="73"/>
      <c r="D187" s="31">
        <v>80000</v>
      </c>
      <c r="E187" s="35">
        <v>15</v>
      </c>
      <c r="F187" s="30">
        <v>0.2</v>
      </c>
      <c r="G187" s="63"/>
    </row>
    <row r="188" spans="1:8" x14ac:dyDescent="0.25">
      <c r="A188" s="41" t="s">
        <v>259</v>
      </c>
      <c r="B188" s="72" t="s">
        <v>161</v>
      </c>
      <c r="C188" s="73"/>
      <c r="D188" s="31">
        <v>2500</v>
      </c>
      <c r="E188" s="35">
        <v>12</v>
      </c>
      <c r="F188" s="30">
        <v>0.2</v>
      </c>
      <c r="G188" s="63"/>
    </row>
    <row r="189" spans="1:8" x14ac:dyDescent="0.25">
      <c r="A189" s="41" t="s">
        <v>259</v>
      </c>
      <c r="B189" s="72" t="s">
        <v>163</v>
      </c>
      <c r="C189" s="73"/>
      <c r="D189" s="31">
        <v>3000</v>
      </c>
      <c r="E189" s="35">
        <v>12</v>
      </c>
      <c r="F189" s="30">
        <v>0.2</v>
      </c>
      <c r="G189" s="63"/>
    </row>
    <row r="190" spans="1:8" x14ac:dyDescent="0.25">
      <c r="A190" s="41" t="s">
        <v>259</v>
      </c>
      <c r="B190" s="72" t="s">
        <v>164</v>
      </c>
      <c r="C190" s="73"/>
      <c r="D190" s="31">
        <v>2000</v>
      </c>
      <c r="E190" s="35">
        <v>12</v>
      </c>
      <c r="F190" s="30">
        <v>0.2</v>
      </c>
      <c r="G190" s="63"/>
    </row>
    <row r="191" spans="1:8" x14ac:dyDescent="0.25">
      <c r="A191" s="41" t="s">
        <v>259</v>
      </c>
      <c r="B191" s="56" t="s">
        <v>210</v>
      </c>
      <c r="C191" s="57"/>
      <c r="D191" s="49">
        <v>35000</v>
      </c>
      <c r="E191" s="36">
        <v>20</v>
      </c>
      <c r="F191" s="30">
        <v>0.2</v>
      </c>
      <c r="G191" s="63"/>
    </row>
    <row r="192" spans="1:8" x14ac:dyDescent="0.25">
      <c r="A192" s="41" t="s">
        <v>259</v>
      </c>
      <c r="B192" s="74" t="s">
        <v>28</v>
      </c>
      <c r="C192" s="76"/>
      <c r="D192" s="29"/>
      <c r="E192" s="50"/>
      <c r="F192" s="30"/>
      <c r="G192" s="29">
        <f>SUM(G181:G191)</f>
        <v>0</v>
      </c>
    </row>
    <row r="193" spans="1:68" x14ac:dyDescent="0.25">
      <c r="D193" s="47"/>
    </row>
    <row r="194" spans="1:68" s="40" customFormat="1" x14ac:dyDescent="0.25">
      <c r="A194" s="41" t="s">
        <v>90</v>
      </c>
      <c r="B194" s="33" t="s">
        <v>82</v>
      </c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</row>
    <row r="195" spans="1:68" x14ac:dyDescent="0.25">
      <c r="A195" s="41" t="s">
        <v>90</v>
      </c>
      <c r="B195" s="72" t="s">
        <v>83</v>
      </c>
      <c r="C195" s="98"/>
      <c r="D195" s="73"/>
      <c r="E195" s="63"/>
    </row>
    <row r="196" spans="1:68" x14ac:dyDescent="0.25">
      <c r="A196" s="41" t="s">
        <v>90</v>
      </c>
      <c r="B196" s="72" t="s">
        <v>84</v>
      </c>
      <c r="C196" s="98"/>
      <c r="D196" s="73"/>
      <c r="E196" s="63"/>
    </row>
    <row r="197" spans="1:68" x14ac:dyDescent="0.25">
      <c r="A197" s="41" t="s">
        <v>90</v>
      </c>
      <c r="B197" s="74" t="s">
        <v>28</v>
      </c>
      <c r="C197" s="75"/>
      <c r="D197" s="76"/>
      <c r="E197" s="60"/>
    </row>
    <row r="198" spans="1:68" x14ac:dyDescent="0.25">
      <c r="B198" s="37"/>
      <c r="C198" s="44"/>
      <c r="D198" s="44"/>
      <c r="E198" s="44"/>
    </row>
    <row r="200" spans="1:68" x14ac:dyDescent="0.25">
      <c r="A200" s="41" t="s">
        <v>260</v>
      </c>
      <c r="B200" s="33" t="s">
        <v>85</v>
      </c>
      <c r="C200" s="40"/>
      <c r="D200" s="40"/>
      <c r="E200" s="40"/>
      <c r="F200" s="40"/>
      <c r="G200" s="40"/>
    </row>
    <row r="201" spans="1:68" x14ac:dyDescent="0.25">
      <c r="A201" s="41" t="s">
        <v>260</v>
      </c>
      <c r="B201" s="33" t="s">
        <v>86</v>
      </c>
      <c r="C201" s="40"/>
      <c r="D201" s="40"/>
      <c r="E201" s="40"/>
      <c r="F201" s="40"/>
      <c r="G201" s="40"/>
    </row>
    <row r="202" spans="1:68" s="40" customFormat="1" x14ac:dyDescent="0.25">
      <c r="A202" s="41" t="s">
        <v>260</v>
      </c>
      <c r="B202" s="33" t="s">
        <v>94</v>
      </c>
      <c r="C202" s="40">
        <v>3</v>
      </c>
      <c r="D202" s="40" t="s">
        <v>95</v>
      </c>
      <c r="E202" s="40">
        <f>E16</f>
        <v>1.5</v>
      </c>
      <c r="F202" s="40" t="s">
        <v>238</v>
      </c>
      <c r="G202" s="40">
        <f>E15</f>
        <v>170</v>
      </c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</row>
    <row r="203" spans="1:68" s="40" customFormat="1" x14ac:dyDescent="0.25">
      <c r="A203" s="41" t="s">
        <v>260</v>
      </c>
      <c r="B203" s="74" t="s">
        <v>69</v>
      </c>
      <c r="C203" s="75"/>
      <c r="D203" s="76"/>
      <c r="E203" s="29" t="s">
        <v>28</v>
      </c>
      <c r="F203" s="29" t="s">
        <v>284</v>
      </c>
      <c r="G203" s="29" t="s">
        <v>274</v>
      </c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</row>
    <row r="204" spans="1:68" s="40" customFormat="1" x14ac:dyDescent="0.25">
      <c r="A204" s="41" t="s">
        <v>260</v>
      </c>
      <c r="B204" s="72" t="s">
        <v>87</v>
      </c>
      <c r="C204" s="98"/>
      <c r="D204" s="73"/>
      <c r="E204" s="63"/>
      <c r="F204" s="63"/>
      <c r="G204" s="64">
        <v>1</v>
      </c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</row>
    <row r="205" spans="1:68" x14ac:dyDescent="0.25">
      <c r="A205" s="41" t="s">
        <v>260</v>
      </c>
      <c r="B205" s="72" t="s">
        <v>88</v>
      </c>
      <c r="C205" s="98"/>
      <c r="D205" s="73"/>
      <c r="E205" s="63"/>
      <c r="F205" s="63"/>
      <c r="G205" s="58"/>
    </row>
    <row r="206" spans="1:68" x14ac:dyDescent="0.25">
      <c r="A206" s="41" t="s">
        <v>260</v>
      </c>
      <c r="B206" s="72" t="s">
        <v>89</v>
      </c>
      <c r="C206" s="98"/>
      <c r="D206" s="73"/>
      <c r="E206" s="63"/>
      <c r="F206" s="63"/>
      <c r="G206" s="58"/>
    </row>
    <row r="207" spans="1:68" x14ac:dyDescent="0.25">
      <c r="A207" s="41" t="s">
        <v>260</v>
      </c>
      <c r="B207" s="72" t="s">
        <v>90</v>
      </c>
      <c r="C207" s="98"/>
      <c r="D207" s="73"/>
      <c r="E207" s="63"/>
      <c r="F207" s="63"/>
      <c r="G207" s="58"/>
    </row>
    <row r="208" spans="1:68" x14ac:dyDescent="0.25">
      <c r="A208" s="41" t="s">
        <v>260</v>
      </c>
      <c r="B208" s="72" t="s">
        <v>275</v>
      </c>
      <c r="C208" s="98"/>
      <c r="D208" s="73"/>
      <c r="E208" s="63"/>
      <c r="F208" s="63"/>
      <c r="G208" s="58"/>
    </row>
    <row r="209" spans="1:68" x14ac:dyDescent="0.25">
      <c r="A209" s="41" t="s">
        <v>260</v>
      </c>
      <c r="B209" s="72" t="s">
        <v>91</v>
      </c>
      <c r="C209" s="98"/>
      <c r="D209" s="73"/>
      <c r="E209" s="63"/>
      <c r="F209" s="63"/>
      <c r="G209" s="58"/>
    </row>
    <row r="210" spans="1:68" x14ac:dyDescent="0.25">
      <c r="A210" s="41" t="s">
        <v>260</v>
      </c>
      <c r="B210" s="72" t="s">
        <v>92</v>
      </c>
      <c r="C210" s="98"/>
      <c r="D210" s="73"/>
      <c r="E210" s="63"/>
      <c r="F210" s="63"/>
      <c r="G210" s="58"/>
    </row>
    <row r="211" spans="1:68" x14ac:dyDescent="0.25">
      <c r="A211" s="41" t="s">
        <v>260</v>
      </c>
      <c r="B211" s="72" t="s">
        <v>93</v>
      </c>
      <c r="C211" s="98"/>
      <c r="D211" s="73"/>
      <c r="E211" s="63"/>
      <c r="F211" s="30" t="s">
        <v>96</v>
      </c>
      <c r="G211" s="30" t="s">
        <v>96</v>
      </c>
    </row>
    <row r="212" spans="1:68" x14ac:dyDescent="0.25">
      <c r="A212" s="41" t="s">
        <v>260</v>
      </c>
      <c r="B212" s="72" t="s">
        <v>276</v>
      </c>
      <c r="C212" s="98"/>
      <c r="D212" s="73"/>
      <c r="E212" s="63"/>
      <c r="F212" s="30" t="s">
        <v>96</v>
      </c>
      <c r="G212" s="30" t="s">
        <v>96</v>
      </c>
    </row>
    <row r="214" spans="1:68" x14ac:dyDescent="0.25">
      <c r="A214" s="41" t="s">
        <v>261</v>
      </c>
      <c r="B214" s="33" t="s">
        <v>97</v>
      </c>
    </row>
    <row r="215" spans="1:68" x14ac:dyDescent="0.25">
      <c r="A215" s="41" t="s">
        <v>261</v>
      </c>
      <c r="B215" s="54" t="s">
        <v>100</v>
      </c>
      <c r="C215" s="29" t="s">
        <v>239</v>
      </c>
      <c r="D215" s="29" t="s">
        <v>52</v>
      </c>
      <c r="E215" s="29" t="s">
        <v>65</v>
      </c>
      <c r="F215" s="29" t="s">
        <v>99</v>
      </c>
      <c r="G215" s="29" t="s">
        <v>240</v>
      </c>
    </row>
    <row r="216" spans="1:68" x14ac:dyDescent="0.25">
      <c r="A216" s="41" t="s">
        <v>261</v>
      </c>
      <c r="B216" s="55" t="s">
        <v>20</v>
      </c>
      <c r="C216" s="30"/>
      <c r="D216" s="30"/>
      <c r="E216" s="30"/>
      <c r="F216" s="30"/>
      <c r="G216" s="30"/>
    </row>
    <row r="217" spans="1:68" x14ac:dyDescent="0.25">
      <c r="A217" s="41" t="s">
        <v>261</v>
      </c>
      <c r="B217" s="55" t="s">
        <v>118</v>
      </c>
      <c r="C217" s="30"/>
      <c r="D217" s="30"/>
      <c r="E217" s="30"/>
      <c r="F217" s="30"/>
      <c r="G217" s="30"/>
    </row>
    <row r="218" spans="1:68" s="40" customFormat="1" x14ac:dyDescent="0.25">
      <c r="A218" s="41" t="s">
        <v>261</v>
      </c>
      <c r="B218" s="55" t="s">
        <v>119</v>
      </c>
      <c r="C218" s="30"/>
      <c r="D218" s="30"/>
      <c r="E218" s="30"/>
      <c r="F218" s="30"/>
      <c r="G218" s="30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</row>
    <row r="219" spans="1:68" x14ac:dyDescent="0.25">
      <c r="A219" s="41" t="s">
        <v>261</v>
      </c>
      <c r="B219" s="55" t="s">
        <v>154</v>
      </c>
      <c r="C219" s="30"/>
      <c r="D219" s="30"/>
      <c r="E219" s="30"/>
      <c r="F219" s="30"/>
      <c r="G219" s="30"/>
    </row>
    <row r="220" spans="1:68" x14ac:dyDescent="0.25">
      <c r="A220" s="41" t="s">
        <v>261</v>
      </c>
      <c r="B220" s="55" t="s">
        <v>21</v>
      </c>
      <c r="C220" s="30"/>
      <c r="D220" s="30"/>
      <c r="E220" s="30"/>
      <c r="F220" s="30"/>
      <c r="G220" s="30"/>
    </row>
    <row r="221" spans="1:68" x14ac:dyDescent="0.25">
      <c r="A221" s="41" t="s">
        <v>261</v>
      </c>
      <c r="B221" s="55" t="s">
        <v>106</v>
      </c>
      <c r="C221" s="30"/>
      <c r="D221" s="30">
        <f>SUM(D216:D220)</f>
        <v>0</v>
      </c>
      <c r="E221" s="30">
        <f>SUM(E216:E220)</f>
        <v>0</v>
      </c>
      <c r="F221" s="30">
        <f>SUM(F216:F220)</f>
        <v>0</v>
      </c>
      <c r="G221" s="30"/>
    </row>
    <row r="223" spans="1:68" x14ac:dyDescent="0.25">
      <c r="A223" s="41" t="s">
        <v>262</v>
      </c>
      <c r="B223" s="33" t="s">
        <v>101</v>
      </c>
    </row>
    <row r="224" spans="1:68" x14ac:dyDescent="0.25">
      <c r="A224" s="41" t="s">
        <v>262</v>
      </c>
      <c r="B224" s="54" t="s">
        <v>98</v>
      </c>
      <c r="C224" s="29" t="s">
        <v>239</v>
      </c>
      <c r="D224" s="29" t="s">
        <v>52</v>
      </c>
      <c r="E224" s="29" t="s">
        <v>65</v>
      </c>
      <c r="F224" s="29" t="s">
        <v>99</v>
      </c>
      <c r="G224" s="29" t="s">
        <v>240</v>
      </c>
    </row>
    <row r="225" spans="1:68" x14ac:dyDescent="0.25">
      <c r="A225" s="41" t="s">
        <v>262</v>
      </c>
      <c r="B225" s="55" t="s">
        <v>219</v>
      </c>
      <c r="C225" s="30"/>
      <c r="D225" s="30"/>
      <c r="E225" s="30"/>
      <c r="F225" s="30"/>
      <c r="G225" s="30"/>
    </row>
    <row r="226" spans="1:68" x14ac:dyDescent="0.25">
      <c r="A226" s="41" t="s">
        <v>262</v>
      </c>
      <c r="B226" s="55" t="s">
        <v>220</v>
      </c>
      <c r="C226" s="30"/>
      <c r="D226" s="30"/>
      <c r="E226" s="30"/>
      <c r="F226" s="30"/>
      <c r="G226" s="30"/>
    </row>
    <row r="227" spans="1:68" x14ac:dyDescent="0.25">
      <c r="A227" s="41" t="s">
        <v>262</v>
      </c>
      <c r="B227" s="55" t="s">
        <v>221</v>
      </c>
      <c r="C227" s="30"/>
      <c r="D227" s="30"/>
      <c r="E227" s="30"/>
      <c r="F227" s="30"/>
      <c r="G227" s="30"/>
    </row>
    <row r="228" spans="1:68" x14ac:dyDescent="0.25">
      <c r="A228" s="41" t="s">
        <v>262</v>
      </c>
      <c r="B228" s="55" t="s">
        <v>21</v>
      </c>
      <c r="C228" s="30"/>
      <c r="D228" s="30"/>
      <c r="E228" s="30"/>
      <c r="F228" s="30"/>
      <c r="G228" s="30"/>
    </row>
    <row r="229" spans="1:68" x14ac:dyDescent="0.25">
      <c r="A229" s="41" t="s">
        <v>262</v>
      </c>
      <c r="B229" s="55" t="s">
        <v>106</v>
      </c>
      <c r="C229" s="30">
        <f>SUM(C225:C228)</f>
        <v>0</v>
      </c>
      <c r="D229" s="30">
        <f>SUM(D225:D228)</f>
        <v>0</v>
      </c>
      <c r="E229" s="30">
        <f>SUM(E225:E228)</f>
        <v>0</v>
      </c>
      <c r="F229" s="30"/>
      <c r="G229" s="30"/>
    </row>
    <row r="231" spans="1:68" x14ac:dyDescent="0.25">
      <c r="B231" s="33" t="s">
        <v>285</v>
      </c>
      <c r="C231" s="40"/>
      <c r="D231" s="40"/>
      <c r="E231" s="40"/>
      <c r="F231" s="40"/>
      <c r="G231" s="40"/>
    </row>
    <row r="233" spans="1:68" s="40" customFormat="1" x14ac:dyDescent="0.25">
      <c r="A233" s="41" t="s">
        <v>263</v>
      </c>
      <c r="B233" s="33" t="s">
        <v>287</v>
      </c>
      <c r="F233" s="40" t="s">
        <v>286</v>
      </c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  <c r="BP233" s="36"/>
    </row>
    <row r="234" spans="1:68" x14ac:dyDescent="0.25">
      <c r="A234" s="41" t="s">
        <v>263</v>
      </c>
      <c r="B234" s="33"/>
      <c r="C234" s="40"/>
      <c r="D234" s="40"/>
      <c r="E234" s="40"/>
      <c r="F234" s="40"/>
      <c r="G234" s="40"/>
      <c r="H234" s="40"/>
    </row>
    <row r="235" spans="1:68" s="40" customFormat="1" x14ac:dyDescent="0.25">
      <c r="A235" s="41" t="s">
        <v>263</v>
      </c>
      <c r="B235" s="72" t="s">
        <v>102</v>
      </c>
      <c r="C235" s="73"/>
      <c r="D235" s="31"/>
      <c r="E235" s="36"/>
      <c r="F235" s="72" t="s">
        <v>102</v>
      </c>
      <c r="G235" s="73"/>
      <c r="H235" s="31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</row>
    <row r="236" spans="1:68" s="40" customFormat="1" x14ac:dyDescent="0.25">
      <c r="A236" s="41" t="s">
        <v>263</v>
      </c>
      <c r="B236" s="55" t="s">
        <v>288</v>
      </c>
      <c r="C236" s="55"/>
      <c r="D236" s="58"/>
      <c r="E236" s="36"/>
      <c r="F236" s="55" t="s">
        <v>277</v>
      </c>
      <c r="G236" s="55"/>
      <c r="H236" s="58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</row>
    <row r="237" spans="1:68" x14ac:dyDescent="0.25">
      <c r="A237" s="41" t="s">
        <v>263</v>
      </c>
      <c r="B237" s="72" t="s">
        <v>289</v>
      </c>
      <c r="C237" s="73"/>
      <c r="D237" s="58"/>
      <c r="F237" s="72" t="s">
        <v>103</v>
      </c>
      <c r="G237" s="73"/>
      <c r="H237" s="58"/>
    </row>
    <row r="238" spans="1:68" x14ac:dyDescent="0.25">
      <c r="A238" s="41" t="s">
        <v>263</v>
      </c>
      <c r="B238" s="72" t="s">
        <v>290</v>
      </c>
      <c r="C238" s="73"/>
      <c r="D238" s="58"/>
      <c r="F238" s="72" t="s">
        <v>212</v>
      </c>
      <c r="G238" s="73"/>
      <c r="H238" s="58"/>
    </row>
    <row r="239" spans="1:68" x14ac:dyDescent="0.25">
      <c r="A239" s="41" t="s">
        <v>263</v>
      </c>
      <c r="B239" s="72" t="s">
        <v>104</v>
      </c>
      <c r="C239" s="73"/>
      <c r="D239" s="63"/>
      <c r="F239" s="72" t="s">
        <v>104</v>
      </c>
      <c r="G239" s="73"/>
      <c r="H239" s="63"/>
    </row>
    <row r="240" spans="1:68" x14ac:dyDescent="0.25">
      <c r="B240" s="38"/>
      <c r="C240" s="42"/>
      <c r="D240" s="42"/>
      <c r="F240" s="42"/>
      <c r="G240" s="42"/>
      <c r="H240" s="42"/>
    </row>
    <row r="241" spans="1:8" x14ac:dyDescent="0.25">
      <c r="A241" s="41" t="s">
        <v>264</v>
      </c>
      <c r="B241" s="55" t="s">
        <v>291</v>
      </c>
      <c r="C241" s="30" t="s">
        <v>292</v>
      </c>
      <c r="D241" s="30"/>
      <c r="F241" s="30" t="s">
        <v>105</v>
      </c>
      <c r="G241" s="30" t="s">
        <v>241</v>
      </c>
      <c r="H241" s="30" t="s">
        <v>104</v>
      </c>
    </row>
    <row r="242" spans="1:8" x14ac:dyDescent="0.25">
      <c r="A242" s="41" t="s">
        <v>264</v>
      </c>
      <c r="B242" s="63"/>
      <c r="C242" s="58"/>
      <c r="D242" s="63"/>
      <c r="F242" s="63"/>
      <c r="G242" s="58"/>
      <c r="H242" s="63"/>
    </row>
    <row r="243" spans="1:8" x14ac:dyDescent="0.25">
      <c r="A243" s="41" t="s">
        <v>264</v>
      </c>
      <c r="B243" s="63"/>
      <c r="C243" s="58"/>
      <c r="D243" s="63"/>
      <c r="F243" s="63"/>
      <c r="G243" s="58"/>
      <c r="H243" s="63"/>
    </row>
    <row r="244" spans="1:8" x14ac:dyDescent="0.25">
      <c r="B244" s="38"/>
      <c r="C244" s="46" t="str">
        <f>IF(C243=E211,"OK!","ATENÇÃO")</f>
        <v>OK!</v>
      </c>
      <c r="D244" s="42"/>
      <c r="F244" s="42"/>
      <c r="G244" s="46" t="str">
        <f>IF(G243=E212,"OK!","ATENÇÃO")</f>
        <v>OK!</v>
      </c>
      <c r="H244" s="42"/>
    </row>
    <row r="245" spans="1:8" x14ac:dyDescent="0.25">
      <c r="B245" s="38"/>
      <c r="C245" s="42"/>
      <c r="D245" s="42"/>
    </row>
    <row r="246" spans="1:8" x14ac:dyDescent="0.25">
      <c r="A246" s="41" t="s">
        <v>266</v>
      </c>
      <c r="B246" s="33" t="s">
        <v>243</v>
      </c>
      <c r="C246" s="40"/>
      <c r="D246" s="40"/>
      <c r="E246" s="40"/>
      <c r="F246" s="40"/>
      <c r="G246" s="40"/>
    </row>
    <row r="247" spans="1:8" x14ac:dyDescent="0.25">
      <c r="A247" s="41" t="s">
        <v>266</v>
      </c>
    </row>
    <row r="248" spans="1:8" s="70" customFormat="1" ht="31.5" x14ac:dyDescent="0.2">
      <c r="A248" s="66" t="s">
        <v>266</v>
      </c>
      <c r="B248" s="67" t="s">
        <v>213</v>
      </c>
      <c r="C248" s="68" t="s">
        <v>223</v>
      </c>
      <c r="D248" s="68" t="s">
        <v>222</v>
      </c>
      <c r="E248" s="69" t="s">
        <v>295</v>
      </c>
      <c r="F248" s="68" t="s">
        <v>224</v>
      </c>
      <c r="G248" s="68" t="s">
        <v>225</v>
      </c>
    </row>
    <row r="249" spans="1:8" x14ac:dyDescent="0.25">
      <c r="A249" s="41" t="s">
        <v>266</v>
      </c>
      <c r="B249" s="55" t="str">
        <f>B228</f>
        <v>Subsistência</v>
      </c>
      <c r="C249" s="58"/>
      <c r="D249" s="58"/>
      <c r="E249" s="58"/>
      <c r="F249" s="58"/>
      <c r="G249" s="63"/>
    </row>
    <row r="250" spans="1:8" x14ac:dyDescent="0.25">
      <c r="A250" s="41" t="s">
        <v>266</v>
      </c>
      <c r="B250" s="55" t="str">
        <f>B225</f>
        <v>Soja/Trigo</v>
      </c>
      <c r="C250" s="58"/>
      <c r="D250" s="58"/>
      <c r="E250" s="58"/>
      <c r="F250" s="58"/>
      <c r="G250" s="63"/>
    </row>
    <row r="251" spans="1:8" x14ac:dyDescent="0.25">
      <c r="A251" s="41" t="s">
        <v>266</v>
      </c>
      <c r="B251" s="55" t="str">
        <f>B226</f>
        <v>Soja/Aveia</v>
      </c>
      <c r="C251" s="58"/>
      <c r="D251" s="58"/>
      <c r="E251" s="58"/>
      <c r="F251" s="58"/>
      <c r="G251" s="63"/>
    </row>
    <row r="252" spans="1:8" x14ac:dyDescent="0.25">
      <c r="A252" s="41" t="s">
        <v>266</v>
      </c>
      <c r="B252" s="55" t="str">
        <f>B227</f>
        <v>Milho/Milho</v>
      </c>
      <c r="C252" s="58"/>
      <c r="D252" s="58"/>
      <c r="E252" s="58"/>
      <c r="F252" s="58"/>
      <c r="G252" s="63"/>
    </row>
    <row r="253" spans="1:8" x14ac:dyDescent="0.25">
      <c r="A253" s="41" t="s">
        <v>266</v>
      </c>
      <c r="B253" s="55"/>
      <c r="C253" s="63"/>
      <c r="D253" s="63"/>
      <c r="E253" s="58"/>
      <c r="F253" s="58"/>
      <c r="G253" s="63"/>
    </row>
    <row r="254" spans="1:8" x14ac:dyDescent="0.25">
      <c r="A254" s="41" t="s">
        <v>266</v>
      </c>
      <c r="B254" s="54" t="s">
        <v>106</v>
      </c>
      <c r="C254" s="32"/>
      <c r="D254" s="32">
        <f>SUM(D249:D253)</f>
        <v>0</v>
      </c>
      <c r="E254" s="32"/>
      <c r="F254" s="32">
        <f>SUM(F249:F252)</f>
        <v>0</v>
      </c>
      <c r="G254" s="30"/>
    </row>
    <row r="255" spans="1:8" x14ac:dyDescent="0.25">
      <c r="B255" s="37" t="s">
        <v>107</v>
      </c>
      <c r="C255" s="45"/>
      <c r="D255" s="46"/>
      <c r="E255" s="46"/>
      <c r="F255" s="46"/>
      <c r="G255" s="46"/>
    </row>
    <row r="257" spans="1:68" x14ac:dyDescent="0.25">
      <c r="A257" s="41" t="s">
        <v>265</v>
      </c>
      <c r="B257" s="29" t="s">
        <v>226</v>
      </c>
      <c r="C257" s="29" t="s">
        <v>296</v>
      </c>
      <c r="D257" s="29" t="s">
        <v>297</v>
      </c>
      <c r="E257" s="29" t="s">
        <v>298</v>
      </c>
      <c r="F257" s="50" t="s">
        <v>299</v>
      </c>
      <c r="G257" s="51"/>
    </row>
    <row r="258" spans="1:68" x14ac:dyDescent="0.25">
      <c r="A258" s="41" t="s">
        <v>265</v>
      </c>
      <c r="B258" s="63"/>
      <c r="C258" s="63"/>
      <c r="D258" s="63"/>
      <c r="E258" s="63"/>
      <c r="F258" s="65"/>
      <c r="G258" s="51"/>
    </row>
    <row r="259" spans="1:68" x14ac:dyDescent="0.25">
      <c r="A259" s="41" t="s">
        <v>265</v>
      </c>
      <c r="B259" s="58"/>
      <c r="C259" s="63"/>
      <c r="D259" s="63"/>
      <c r="E259" s="63"/>
      <c r="F259" s="65"/>
      <c r="G259" s="48"/>
    </row>
    <row r="260" spans="1:68" x14ac:dyDescent="0.25">
      <c r="A260" s="41" t="s">
        <v>265</v>
      </c>
      <c r="B260" s="58"/>
      <c r="C260" s="63"/>
      <c r="D260" s="63"/>
      <c r="E260" s="63"/>
      <c r="F260" s="65"/>
      <c r="G260" s="48"/>
    </row>
    <row r="261" spans="1:68" x14ac:dyDescent="0.25">
      <c r="A261" s="41" t="s">
        <v>265</v>
      </c>
      <c r="B261" s="58"/>
      <c r="C261" s="63"/>
      <c r="D261" s="63"/>
      <c r="E261" s="63"/>
      <c r="F261" s="65"/>
      <c r="G261" s="48"/>
    </row>
    <row r="262" spans="1:68" x14ac:dyDescent="0.25">
      <c r="A262" s="41" t="s">
        <v>265</v>
      </c>
      <c r="B262" s="58"/>
      <c r="C262" s="63"/>
      <c r="D262" s="63"/>
      <c r="E262" s="63"/>
      <c r="F262" s="65"/>
      <c r="G262" s="48"/>
    </row>
    <row r="263" spans="1:68" x14ac:dyDescent="0.25">
      <c r="A263" s="41" t="s">
        <v>265</v>
      </c>
      <c r="B263" s="58"/>
      <c r="C263" s="63"/>
      <c r="D263" s="63"/>
      <c r="E263" s="63"/>
      <c r="F263" s="65"/>
      <c r="G263" s="48"/>
    </row>
    <row r="264" spans="1:68" s="40" customFormat="1" x14ac:dyDescent="0.25">
      <c r="A264" s="41" t="s">
        <v>265</v>
      </c>
      <c r="B264" s="58"/>
      <c r="C264" s="63"/>
      <c r="D264" s="63"/>
      <c r="E264" s="63"/>
      <c r="F264" s="63"/>
      <c r="G264" s="42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6"/>
      <c r="BN264" s="36"/>
      <c r="BO264" s="36"/>
      <c r="BP264" s="36"/>
    </row>
    <row r="265" spans="1:68" x14ac:dyDescent="0.25">
      <c r="A265" s="41" t="s">
        <v>265</v>
      </c>
      <c r="B265" s="63"/>
      <c r="C265" s="63"/>
      <c r="D265" s="63"/>
      <c r="E265" s="63"/>
      <c r="F265" s="63"/>
    </row>
    <row r="272" spans="1:68" s="40" customFormat="1" x14ac:dyDescent="0.25">
      <c r="A272" s="52"/>
      <c r="B272" s="33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  <c r="BL272" s="36"/>
      <c r="BM272" s="36"/>
      <c r="BN272" s="36"/>
      <c r="BO272" s="36"/>
      <c r="BP272" s="36"/>
    </row>
  </sheetData>
  <autoFilter ref="A1:A265"/>
  <mergeCells count="70">
    <mergeCell ref="F238:G238"/>
    <mergeCell ref="B209:D209"/>
    <mergeCell ref="B197:D197"/>
    <mergeCell ref="B203:D203"/>
    <mergeCell ref="B204:D204"/>
    <mergeCell ref="B205:D205"/>
    <mergeCell ref="B206:D206"/>
    <mergeCell ref="B207:D207"/>
    <mergeCell ref="B208:D208"/>
    <mergeCell ref="F237:G237"/>
    <mergeCell ref="B235:C235"/>
    <mergeCell ref="B237:C237"/>
    <mergeCell ref="B238:C238"/>
    <mergeCell ref="B187:C187"/>
    <mergeCell ref="B189:C189"/>
    <mergeCell ref="B188:C188"/>
    <mergeCell ref="B190:C190"/>
    <mergeCell ref="B195:D195"/>
    <mergeCell ref="B69:D69"/>
    <mergeCell ref="F239:G239"/>
    <mergeCell ref="B210:D210"/>
    <mergeCell ref="B211:D211"/>
    <mergeCell ref="B212:D212"/>
    <mergeCell ref="F235:G235"/>
    <mergeCell ref="B183:C183"/>
    <mergeCell ref="B184:C184"/>
    <mergeCell ref="B185:C185"/>
    <mergeCell ref="B192:C192"/>
    <mergeCell ref="B181:C181"/>
    <mergeCell ref="B70:D70"/>
    <mergeCell ref="B180:C180"/>
    <mergeCell ref="B182:C182"/>
    <mergeCell ref="B186:C186"/>
    <mergeCell ref="B196:D196"/>
    <mergeCell ref="B42:D42"/>
    <mergeCell ref="B31:D32"/>
    <mergeCell ref="B43:D43"/>
    <mergeCell ref="B44:D44"/>
    <mergeCell ref="B68:D68"/>
    <mergeCell ref="B37:D37"/>
    <mergeCell ref="E28:F28"/>
    <mergeCell ref="E29:F29"/>
    <mergeCell ref="B33:D36"/>
    <mergeCell ref="B38:D41"/>
    <mergeCell ref="E24:F24"/>
    <mergeCell ref="E25:F25"/>
    <mergeCell ref="B19:D30"/>
    <mergeCell ref="E26:F26"/>
    <mergeCell ref="E27:F27"/>
    <mergeCell ref="B17:D17"/>
    <mergeCell ref="E17:G17"/>
    <mergeCell ref="B18:D18"/>
    <mergeCell ref="E22:F22"/>
    <mergeCell ref="E23:F23"/>
    <mergeCell ref="B239:C239"/>
    <mergeCell ref="E140:G140"/>
    <mergeCell ref="B10:D10"/>
    <mergeCell ref="E10:G10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</mergeCells>
  <phoneticPr fontId="0" type="noConversion"/>
  <pageMargins left="0.39370078740157483" right="0.31496062992125984" top="0.39370078740157483" bottom="0.39370078740157483" header="0" footer="0"/>
  <pageSetup paperSize="9" orientation="landscape" horizontalDpi="300" verticalDpi="300" r:id="rId1"/>
  <headerFooter alignWithMargins="0">
    <oddHeader>&amp;F</oddHeader>
  </headerFooter>
  <rowBreaks count="5" manualBreakCount="5">
    <brk id="36" max="16383" man="1"/>
    <brk id="139" max="16383" man="1"/>
    <brk id="171" max="16383" man="1"/>
    <brk id="199" max="16383" man="1"/>
    <brk id="23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O31" sqref="O31"/>
    </sheetView>
  </sheetViews>
  <sheetFormatPr defaultRowHeight="12.75" x14ac:dyDescent="0.2"/>
  <sheetData/>
  <phoneticPr fontId="4" type="noConversion"/>
  <pageMargins left="0.78740157480314965" right="0.78740157480314965" top="0.98425196850393704" bottom="0.98425196850393704" header="0.51181102362204722" footer="0.51181102362204722"/>
  <pageSetup paperSize="9" orientation="landscape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Uso Fatores Prod.</vt:lpstr>
      <vt:lpstr>Gr. Uso Fatores</vt:lpstr>
      <vt:lpstr>Cálculo</vt:lpstr>
      <vt:lpstr>Gráficos resultados globais</vt:lpstr>
      <vt:lpstr>Gráfico composição da renda</vt:lpstr>
    </vt:vector>
  </TitlesOfParts>
  <Company>FIDENE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rejeitada</dc:creator>
  <cp:lastModifiedBy>Benedito</cp:lastModifiedBy>
  <cp:lastPrinted>2018-11-29T18:15:36Z</cp:lastPrinted>
  <dcterms:created xsi:type="dcterms:W3CDTF">2004-04-27T18:46:37Z</dcterms:created>
  <dcterms:modified xsi:type="dcterms:W3CDTF">2018-11-29T18:17:58Z</dcterms:modified>
</cp:coreProperties>
</file>